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0320" activeTab="3"/>
  </bookViews>
  <sheets>
    <sheet name="VENTAS " sheetId="1" r:id="rId1"/>
    <sheet name="COMPRAS " sheetId="2" r:id="rId2"/>
    <sheet name="PERSONAL " sheetId="7" r:id="rId3"/>
    <sheet name="GASTOS GENERALES " sheetId="3" r:id="rId4"/>
    <sheet name="FINANCIERO " sheetId="5" r:id="rId5"/>
    <sheet name="TESORERIA" sheetId="6" r:id="rId6"/>
    <sheet name="RESULTADOS " sheetId="4" r:id="rId7"/>
    <sheet name="DESVIACIÓN TESORERIA" sheetId="8" r:id="rId8"/>
  </sheets>
  <calcPr calcId="125725"/>
</workbook>
</file>

<file path=xl/calcChain.xml><?xml version="1.0" encoding="utf-8"?>
<calcChain xmlns="http://schemas.openxmlformats.org/spreadsheetml/2006/main">
  <c r="H24" i="8"/>
  <c r="I21"/>
  <c r="J21"/>
  <c r="K21"/>
  <c r="L21"/>
  <c r="M21"/>
  <c r="N21"/>
  <c r="O21"/>
  <c r="P21"/>
  <c r="H21"/>
  <c r="N18" i="7"/>
  <c r="K18"/>
  <c r="H18"/>
  <c r="E9" i="6"/>
  <c r="F9"/>
  <c r="H9"/>
  <c r="I9"/>
  <c r="K9"/>
  <c r="L9"/>
  <c r="N9"/>
  <c r="O9"/>
  <c r="H7" i="8"/>
  <c r="I7"/>
  <c r="K7"/>
  <c r="L7"/>
  <c r="N7"/>
  <c r="O7"/>
  <c r="F13"/>
  <c r="E21" i="7" l="1"/>
  <c r="F21"/>
  <c r="G21"/>
  <c r="I21"/>
  <c r="J21"/>
  <c r="K21"/>
  <c r="J9" i="6" s="1"/>
  <c r="L21" i="7"/>
  <c r="M21"/>
  <c r="N21"/>
  <c r="M9" i="6" s="1"/>
  <c r="O21" i="7"/>
  <c r="P21"/>
  <c r="H21"/>
  <c r="G9" i="6" s="1"/>
  <c r="E16" i="7" l="1"/>
  <c r="F16"/>
  <c r="G16"/>
  <c r="H16"/>
  <c r="I16"/>
  <c r="J16"/>
  <c r="K16"/>
  <c r="L16"/>
  <c r="M16"/>
  <c r="N16"/>
  <c r="O16"/>
  <c r="P16"/>
  <c r="Q16"/>
  <c r="D16"/>
  <c r="O15" i="6" l="1"/>
  <c r="D12" i="7"/>
  <c r="D13" s="1"/>
  <c r="O20" i="8"/>
  <c r="N20"/>
  <c r="M20"/>
  <c r="L20"/>
  <c r="K20"/>
  <c r="J20"/>
  <c r="I20"/>
  <c r="H20"/>
  <c r="G20"/>
  <c r="F20"/>
  <c r="E20"/>
  <c r="D20"/>
  <c r="P19"/>
  <c r="P18"/>
  <c r="P20" s="1"/>
  <c r="P14"/>
  <c r="P12"/>
  <c r="O11" i="3"/>
  <c r="O12"/>
  <c r="O13" i="4" s="1"/>
  <c r="G7" i="1"/>
  <c r="E7" i="5"/>
  <c r="F7"/>
  <c r="G7"/>
  <c r="H7"/>
  <c r="H10" s="1"/>
  <c r="I7"/>
  <c r="J7"/>
  <c r="K7"/>
  <c r="L7"/>
  <c r="L10" s="1"/>
  <c r="M7"/>
  <c r="N7"/>
  <c r="O7"/>
  <c r="D7"/>
  <c r="D10" s="1"/>
  <c r="E13" i="3"/>
  <c r="E10" i="8" s="1"/>
  <c r="F13" i="3"/>
  <c r="F10" i="8" s="1"/>
  <c r="G13" i="3"/>
  <c r="G10" i="6" s="1"/>
  <c r="H13" i="3"/>
  <c r="H10" i="6" s="1"/>
  <c r="I13" i="3"/>
  <c r="I10" i="8" s="1"/>
  <c r="J13" i="3"/>
  <c r="J10" i="8" s="1"/>
  <c r="K13" i="3"/>
  <c r="K10" i="6" s="1"/>
  <c r="L13" i="3"/>
  <c r="L10" i="6" s="1"/>
  <c r="M13" i="3"/>
  <c r="M10" i="8" s="1"/>
  <c r="N13" i="3"/>
  <c r="N10" i="8" s="1"/>
  <c r="O13" i="3"/>
  <c r="O10" i="6" s="1"/>
  <c r="D13" i="3"/>
  <c r="D10" i="6" s="1"/>
  <c r="E12" i="7"/>
  <c r="E13" s="1"/>
  <c r="E9" i="2"/>
  <c r="E8"/>
  <c r="D8" i="6" s="1"/>
  <c r="F7" i="2"/>
  <c r="E11" i="4" s="1"/>
  <c r="G8" i="1"/>
  <c r="E5" i="8" s="1"/>
  <c r="E4" s="1"/>
  <c r="F9" i="1"/>
  <c r="F8"/>
  <c r="D5" i="8" s="1"/>
  <c r="D4" s="1"/>
  <c r="E8" i="4"/>
  <c r="E7" s="1"/>
  <c r="D11"/>
  <c r="D8"/>
  <c r="D7" s="1"/>
  <c r="P18" i="6"/>
  <c r="P20" s="1"/>
  <c r="P19"/>
  <c r="E20"/>
  <c r="F20"/>
  <c r="G20"/>
  <c r="H20"/>
  <c r="I20"/>
  <c r="J20"/>
  <c r="K20"/>
  <c r="L20"/>
  <c r="M20"/>
  <c r="N20"/>
  <c r="O20"/>
  <c r="D20"/>
  <c r="P12"/>
  <c r="P13"/>
  <c r="P14"/>
  <c r="E14" i="5"/>
  <c r="E16" i="4" s="1"/>
  <c r="F14" i="5"/>
  <c r="F16" i="4" s="1"/>
  <c r="G14" i="5"/>
  <c r="G16" i="4" s="1"/>
  <c r="H14" i="5"/>
  <c r="H16" i="4" s="1"/>
  <c r="I14" i="5"/>
  <c r="I16" i="4" s="1"/>
  <c r="J14" i="5"/>
  <c r="J16" i="4" s="1"/>
  <c r="K14" i="5"/>
  <c r="K16" i="4" s="1"/>
  <c r="L14" i="5"/>
  <c r="L16" i="4" s="1"/>
  <c r="M14" i="5"/>
  <c r="M16" i="4" s="1"/>
  <c r="N14" i="5"/>
  <c r="N16" i="4" s="1"/>
  <c r="O14" i="5"/>
  <c r="D14"/>
  <c r="D16" i="4" s="1"/>
  <c r="K10" i="5"/>
  <c r="K15" i="4" s="1"/>
  <c r="E10" i="5"/>
  <c r="E15" s="1"/>
  <c r="E16" i="6" s="1"/>
  <c r="E17" s="1"/>
  <c r="F10" i="5"/>
  <c r="F15" i="4" s="1"/>
  <c r="G10" i="5"/>
  <c r="I10"/>
  <c r="I15" i="4" s="1"/>
  <c r="J10" i="5"/>
  <c r="M10"/>
  <c r="N10"/>
  <c r="O10"/>
  <c r="O15" i="4" s="1"/>
  <c r="E10" i="6"/>
  <c r="I10"/>
  <c r="J10"/>
  <c r="M10"/>
  <c r="N10"/>
  <c r="E12" i="3"/>
  <c r="E13" i="4" s="1"/>
  <c r="F12" i="3"/>
  <c r="F13" i="4" s="1"/>
  <c r="G12" i="3"/>
  <c r="G13" i="4" s="1"/>
  <c r="H12" i="3"/>
  <c r="H13" i="4" s="1"/>
  <c r="I12" i="3"/>
  <c r="I13" i="4" s="1"/>
  <c r="J12" i="3"/>
  <c r="J13" i="4" s="1"/>
  <c r="K12" i="3"/>
  <c r="K13" i="4" s="1"/>
  <c r="L12" i="3"/>
  <c r="L13" i="4" s="1"/>
  <c r="M12" i="3"/>
  <c r="M13" i="4" s="1"/>
  <c r="N12" i="3"/>
  <c r="N13" i="4" s="1"/>
  <c r="D12" i="3"/>
  <c r="D13" i="4" s="1"/>
  <c r="P8" i="3"/>
  <c r="P9"/>
  <c r="P10"/>
  <c r="P7"/>
  <c r="D5" i="6"/>
  <c r="D4" s="1"/>
  <c r="F12" i="7" l="1"/>
  <c r="H7" i="1"/>
  <c r="I7" s="1"/>
  <c r="J7" s="1"/>
  <c r="K7" s="1"/>
  <c r="L7" s="1"/>
  <c r="M7" s="1"/>
  <c r="N7" s="1"/>
  <c r="O7" s="1"/>
  <c r="P7" s="1"/>
  <c r="Q7" s="1"/>
  <c r="Q9" s="1"/>
  <c r="G7" i="2"/>
  <c r="E16" i="8"/>
  <c r="E17" s="1"/>
  <c r="M15" i="5"/>
  <c r="F8" i="2"/>
  <c r="E8" i="8" s="1"/>
  <c r="D8"/>
  <c r="G10"/>
  <c r="K10"/>
  <c r="O10"/>
  <c r="F9" i="2"/>
  <c r="L15" i="5"/>
  <c r="Q8" i="1"/>
  <c r="O5" i="8" s="1"/>
  <c r="O4" s="1"/>
  <c r="D10"/>
  <c r="H10"/>
  <c r="L10"/>
  <c r="D15" i="7"/>
  <c r="E19" s="1"/>
  <c r="D14"/>
  <c r="E15"/>
  <c r="F19" s="1"/>
  <c r="E14"/>
  <c r="E20" s="1"/>
  <c r="H8" i="1"/>
  <c r="F5" i="8" s="1"/>
  <c r="F4" s="1"/>
  <c r="G9" i="1"/>
  <c r="K17" i="4"/>
  <c r="I17"/>
  <c r="F17"/>
  <c r="P11" i="3"/>
  <c r="E8" i="6"/>
  <c r="E7" s="1"/>
  <c r="H9" i="1"/>
  <c r="I8"/>
  <c r="G5" i="8" s="1"/>
  <c r="G4" s="1"/>
  <c r="D15" i="5"/>
  <c r="D15" i="4"/>
  <c r="H15" i="5"/>
  <c r="H15" i="4"/>
  <c r="H17" s="1"/>
  <c r="G15" i="5"/>
  <c r="G15" i="4"/>
  <c r="G17" s="1"/>
  <c r="E5" i="6"/>
  <c r="E4" s="1"/>
  <c r="E15" i="4"/>
  <c r="E17" s="1"/>
  <c r="F15" i="5"/>
  <c r="L15" i="4"/>
  <c r="L17" s="1"/>
  <c r="I15" i="5"/>
  <c r="M15" i="4"/>
  <c r="M17" s="1"/>
  <c r="P13" i="3"/>
  <c r="F10" i="6"/>
  <c r="O15" i="5"/>
  <c r="O16" i="4"/>
  <c r="O17" s="1"/>
  <c r="K15" i="5"/>
  <c r="F13" i="7"/>
  <c r="N15" i="4"/>
  <c r="N17" s="1"/>
  <c r="N15" i="5"/>
  <c r="J15" i="4"/>
  <c r="J17" s="1"/>
  <c r="J15" i="5"/>
  <c r="P12" i="3"/>
  <c r="P13" i="4" s="1"/>
  <c r="N16" i="6" l="1"/>
  <c r="N17" s="1"/>
  <c r="N16" i="8"/>
  <c r="N17" s="1"/>
  <c r="F16" i="6"/>
  <c r="F17" s="1"/>
  <c r="F16" i="8"/>
  <c r="F17" s="1"/>
  <c r="G16" i="6"/>
  <c r="G17" s="1"/>
  <c r="G16" i="8"/>
  <c r="D16" i="6"/>
  <c r="D17" s="1"/>
  <c r="D16" i="8"/>
  <c r="P10" i="6"/>
  <c r="P10" i="8"/>
  <c r="M16" i="6"/>
  <c r="M17" s="1"/>
  <c r="M16" i="8"/>
  <c r="M17" s="1"/>
  <c r="O16" i="6"/>
  <c r="O17" s="1"/>
  <c r="O16" i="8"/>
  <c r="J16" i="6"/>
  <c r="J17" s="1"/>
  <c r="J16" i="8"/>
  <c r="J17" s="1"/>
  <c r="I16" i="6"/>
  <c r="I17" s="1"/>
  <c r="I16" i="8"/>
  <c r="I17" s="1"/>
  <c r="H16" i="6"/>
  <c r="H17" s="1"/>
  <c r="H16" i="8"/>
  <c r="H17" s="1"/>
  <c r="L16" i="6"/>
  <c r="L17" s="1"/>
  <c r="L16" i="8"/>
  <c r="L17" s="1"/>
  <c r="K16" i="6"/>
  <c r="K17" s="1"/>
  <c r="K16" i="8"/>
  <c r="K17" s="1"/>
  <c r="H7" i="2"/>
  <c r="G8"/>
  <c r="G9"/>
  <c r="E17" i="7"/>
  <c r="D12" i="4" s="1"/>
  <c r="D10" s="1"/>
  <c r="D14" s="1"/>
  <c r="F14" i="7"/>
  <c r="F20" s="1"/>
  <c r="F15"/>
  <c r="G12"/>
  <c r="G13" s="1"/>
  <c r="F11" i="4"/>
  <c r="G11"/>
  <c r="F8"/>
  <c r="F7" s="1"/>
  <c r="P16"/>
  <c r="D17"/>
  <c r="P15"/>
  <c r="P16" i="6" l="1"/>
  <c r="P16" i="8"/>
  <c r="D17"/>
  <c r="F8"/>
  <c r="F8" i="6"/>
  <c r="F7" s="1"/>
  <c r="I7" i="2"/>
  <c r="H9"/>
  <c r="H8"/>
  <c r="F17" i="7"/>
  <c r="G19"/>
  <c r="G14"/>
  <c r="G20" s="1"/>
  <c r="G15"/>
  <c r="H19" s="1"/>
  <c r="D9" i="6"/>
  <c r="D7" s="1"/>
  <c r="D11" s="1"/>
  <c r="D9" i="8"/>
  <c r="D7" s="1"/>
  <c r="D11" s="1"/>
  <c r="D21" s="1"/>
  <c r="D22" s="1"/>
  <c r="E3" s="1"/>
  <c r="H12" i="7"/>
  <c r="I9" i="1"/>
  <c r="J8"/>
  <c r="H5" i="8" s="1"/>
  <c r="H4" s="1"/>
  <c r="G8" i="4"/>
  <c r="G7" s="1"/>
  <c r="H13" i="7"/>
  <c r="G5" i="6"/>
  <c r="G4" s="1"/>
  <c r="P17" i="4"/>
  <c r="F5" i="6"/>
  <c r="F4" s="1"/>
  <c r="E9" i="8"/>
  <c r="E7" s="1"/>
  <c r="E11" s="1"/>
  <c r="E21" s="1"/>
  <c r="D18" i="4"/>
  <c r="H11"/>
  <c r="G8" i="8" l="1"/>
  <c r="G8" i="6"/>
  <c r="I8" i="2"/>
  <c r="H8" i="8" s="1"/>
  <c r="I9" i="2"/>
  <c r="J7"/>
  <c r="G17" i="7"/>
  <c r="F12" i="4" s="1"/>
  <c r="F10" s="1"/>
  <c r="F14" s="1"/>
  <c r="F18" s="1"/>
  <c r="E12"/>
  <c r="E10" s="1"/>
  <c r="E14" s="1"/>
  <c r="E18" s="1"/>
  <c r="H15" i="7"/>
  <c r="I19" s="1"/>
  <c r="H14"/>
  <c r="H20" s="1"/>
  <c r="E22" i="8"/>
  <c r="F3" s="1"/>
  <c r="I12" i="7"/>
  <c r="I13" s="1"/>
  <c r="K8" i="1"/>
  <c r="I5" i="8" s="1"/>
  <c r="I4" s="1"/>
  <c r="J9" i="1"/>
  <c r="I11" i="4"/>
  <c r="H8"/>
  <c r="H7" s="1"/>
  <c r="H5" i="6"/>
  <c r="H4" s="1"/>
  <c r="E11"/>
  <c r="E21" s="1"/>
  <c r="G7" l="1"/>
  <c r="H17" i="7"/>
  <c r="H8" i="6"/>
  <c r="H7" s="1"/>
  <c r="J9" i="2"/>
  <c r="J8"/>
  <c r="K7"/>
  <c r="I15" i="7"/>
  <c r="J19" s="1"/>
  <c r="I14"/>
  <c r="I20" s="1"/>
  <c r="F11" i="6"/>
  <c r="F21" s="1"/>
  <c r="F9" i="8"/>
  <c r="F7" s="1"/>
  <c r="F11" s="1"/>
  <c r="F21" s="1"/>
  <c r="F22" s="1"/>
  <c r="G3" s="1"/>
  <c r="J12" i="7"/>
  <c r="L8" i="1"/>
  <c r="J5" i="8" s="1"/>
  <c r="J4" s="1"/>
  <c r="K9" i="1"/>
  <c r="G9" i="8"/>
  <c r="G12" i="4"/>
  <c r="G10" s="1"/>
  <c r="G14" s="1"/>
  <c r="G18" s="1"/>
  <c r="I17" i="7"/>
  <c r="I5" i="6"/>
  <c r="I4" s="1"/>
  <c r="I8" i="4"/>
  <c r="I7" s="1"/>
  <c r="J13" i="7"/>
  <c r="J11" i="4"/>
  <c r="G11" i="8" l="1"/>
  <c r="G7"/>
  <c r="K9" i="2"/>
  <c r="L7"/>
  <c r="K8"/>
  <c r="J8" i="8" s="1"/>
  <c r="I8"/>
  <c r="I8" i="6"/>
  <c r="I7" s="1"/>
  <c r="J14" i="7"/>
  <c r="J20" s="1"/>
  <c r="J15"/>
  <c r="K12"/>
  <c r="K13" s="1"/>
  <c r="M8" i="1"/>
  <c r="K5" i="8" s="1"/>
  <c r="K4" s="1"/>
  <c r="L9" i="1"/>
  <c r="H12" i="4"/>
  <c r="H10" s="1"/>
  <c r="H14" s="1"/>
  <c r="H18" s="1"/>
  <c r="K11"/>
  <c r="J8" i="6"/>
  <c r="J8" i="4"/>
  <c r="J7" s="1"/>
  <c r="J5" i="6"/>
  <c r="J4" s="1"/>
  <c r="G11"/>
  <c r="G21" s="1"/>
  <c r="L9" i="2" l="1"/>
  <c r="L8"/>
  <c r="M7"/>
  <c r="J17" i="7"/>
  <c r="J7" i="6" s="1"/>
  <c r="K19" i="7"/>
  <c r="K14"/>
  <c r="K20" s="1"/>
  <c r="K15"/>
  <c r="H11" i="6"/>
  <c r="H21" s="1"/>
  <c r="H9" i="8"/>
  <c r="H11" s="1"/>
  <c r="L12" i="7"/>
  <c r="N8" i="1"/>
  <c r="L5" i="8" s="1"/>
  <c r="L4" s="1"/>
  <c r="M9" i="1"/>
  <c r="I9" i="8"/>
  <c r="I11" s="1"/>
  <c r="L11" i="4"/>
  <c r="K8"/>
  <c r="K7" s="1"/>
  <c r="L13" i="7"/>
  <c r="K5" i="6"/>
  <c r="K4" s="1"/>
  <c r="M9" i="2" l="1"/>
  <c r="M8"/>
  <c r="N7"/>
  <c r="K8" i="8"/>
  <c r="K8" i="6"/>
  <c r="K7" s="1"/>
  <c r="K17" i="7"/>
  <c r="J12" i="4" s="1"/>
  <c r="J10" s="1"/>
  <c r="J14" s="1"/>
  <c r="J18" s="1"/>
  <c r="L19" i="7"/>
  <c r="I12" i="4"/>
  <c r="I10" s="1"/>
  <c r="I14" s="1"/>
  <c r="I18" s="1"/>
  <c r="L14" i="7"/>
  <c r="L20" s="1"/>
  <c r="L15"/>
  <c r="M12"/>
  <c r="M13" s="1"/>
  <c r="N9" i="1"/>
  <c r="O8"/>
  <c r="M5" i="8" s="1"/>
  <c r="M4" s="1"/>
  <c r="M11" i="4"/>
  <c r="L8"/>
  <c r="L7" s="1"/>
  <c r="L5" i="6"/>
  <c r="L4" s="1"/>
  <c r="I11"/>
  <c r="I21" s="1"/>
  <c r="O7" i="2" l="1"/>
  <c r="N8"/>
  <c r="N9"/>
  <c r="L8" i="8"/>
  <c r="L8" i="6"/>
  <c r="L7" s="1"/>
  <c r="L17" i="7"/>
  <c r="M19"/>
  <c r="M15"/>
  <c r="N19" s="1"/>
  <c r="M14"/>
  <c r="M20" s="1"/>
  <c r="J11" i="6"/>
  <c r="J21" s="1"/>
  <c r="J9" i="8"/>
  <c r="N12" i="7"/>
  <c r="N13" s="1"/>
  <c r="P8" i="1"/>
  <c r="N5" i="8" s="1"/>
  <c r="N4" s="1"/>
  <c r="O9" i="1"/>
  <c r="M8" i="4"/>
  <c r="M7" s="1"/>
  <c r="M5" i="6"/>
  <c r="M4" s="1"/>
  <c r="K9" i="8"/>
  <c r="K11" s="1"/>
  <c r="N11" i="4"/>
  <c r="J11" i="8" l="1"/>
  <c r="J7"/>
  <c r="M8"/>
  <c r="M8" i="6"/>
  <c r="O8" i="2"/>
  <c r="O9"/>
  <c r="P7"/>
  <c r="K12" i="4"/>
  <c r="K10" s="1"/>
  <c r="K14" s="1"/>
  <c r="K18" s="1"/>
  <c r="M17" i="7"/>
  <c r="M7" i="6" s="1"/>
  <c r="N14" i="7"/>
  <c r="N20" s="1"/>
  <c r="N15"/>
  <c r="P9" i="1"/>
  <c r="O12" i="7"/>
  <c r="O13" s="1"/>
  <c r="O11" i="4"/>
  <c r="Q7" i="2"/>
  <c r="P11" i="4" s="1"/>
  <c r="K11" i="6"/>
  <c r="K21" s="1"/>
  <c r="N5"/>
  <c r="N4" s="1"/>
  <c r="N8" i="4"/>
  <c r="N7" s="1"/>
  <c r="N8" i="8" l="1"/>
  <c r="N8" i="6"/>
  <c r="N7" s="1"/>
  <c r="P9" i="2"/>
  <c r="P8"/>
  <c r="O8" i="8" s="1"/>
  <c r="L12" i="4"/>
  <c r="L10" s="1"/>
  <c r="L14" s="1"/>
  <c r="L18" s="1"/>
  <c r="N17" i="7"/>
  <c r="O19"/>
  <c r="O14"/>
  <c r="O20" s="1"/>
  <c r="O15"/>
  <c r="P19" s="1"/>
  <c r="L11" i="6"/>
  <c r="L21" s="1"/>
  <c r="L9" i="8"/>
  <c r="L11" s="1"/>
  <c r="P12" i="7"/>
  <c r="P13" s="1"/>
  <c r="M9" i="8"/>
  <c r="M12" i="4"/>
  <c r="M10" s="1"/>
  <c r="M14" s="1"/>
  <c r="M18" s="1"/>
  <c r="O8"/>
  <c r="O7" s="1"/>
  <c r="R7" i="1"/>
  <c r="P8" i="4" s="1"/>
  <c r="P7" s="1"/>
  <c r="M11" i="8" l="1"/>
  <c r="M7"/>
  <c r="Q8" i="2"/>
  <c r="O8" i="6"/>
  <c r="O7" s="1"/>
  <c r="O17" i="7"/>
  <c r="P14"/>
  <c r="P20" s="1"/>
  <c r="P15"/>
  <c r="P17" s="1"/>
  <c r="O5" i="6"/>
  <c r="O4" s="1"/>
  <c r="R8" i="1"/>
  <c r="M11" i="6"/>
  <c r="M21" s="1"/>
  <c r="N12" i="4"/>
  <c r="N10" s="1"/>
  <c r="N14" s="1"/>
  <c r="N18" s="1"/>
  <c r="Q13" i="7"/>
  <c r="Q15" s="1"/>
  <c r="P5" i="6" l="1"/>
  <c r="P4" s="1"/>
  <c r="P5" i="8"/>
  <c r="P4" s="1"/>
  <c r="P8" i="6"/>
  <c r="P8" i="8"/>
  <c r="N11" i="6"/>
  <c r="N21" s="1"/>
  <c r="N9" i="8"/>
  <c r="N11" s="1"/>
  <c r="Q17" i="7"/>
  <c r="P12" i="4" s="1"/>
  <c r="P10" s="1"/>
  <c r="P14" s="1"/>
  <c r="P18" s="1"/>
  <c r="Q14" i="7"/>
  <c r="O9" i="8"/>
  <c r="O11" s="1"/>
  <c r="O12" i="4"/>
  <c r="O10" s="1"/>
  <c r="O14" s="1"/>
  <c r="O18" s="1"/>
  <c r="O11" i="6" l="1"/>
  <c r="O21" s="1"/>
  <c r="Q21" i="7"/>
  <c r="P9" i="6" s="1"/>
  <c r="P7" s="1"/>
  <c r="P15"/>
  <c r="P17" s="1"/>
  <c r="D21"/>
  <c r="D22" s="1"/>
  <c r="E3" s="1"/>
  <c r="E22" s="1"/>
  <c r="F3" s="1"/>
  <c r="F22" s="1"/>
  <c r="G3" s="1"/>
  <c r="G22" s="1"/>
  <c r="H3" l="1"/>
  <c r="H22" s="1"/>
  <c r="I3" s="1"/>
  <c r="I22" s="1"/>
  <c r="J3" s="1"/>
  <c r="J22" s="1"/>
  <c r="K3" s="1"/>
  <c r="K22" s="1"/>
  <c r="L3" s="1"/>
  <c r="L22" s="1"/>
  <c r="M3" s="1"/>
  <c r="M22" s="1"/>
  <c r="N3" s="1"/>
  <c r="N22" s="1"/>
  <c r="O3" s="1"/>
  <c r="O22" s="1"/>
  <c r="H34"/>
  <c r="P11"/>
  <c r="P21" s="1"/>
  <c r="P22" s="1"/>
  <c r="P9" i="8"/>
  <c r="P7" s="1"/>
  <c r="P11" s="1"/>
  <c r="O15"/>
  <c r="P15" s="1"/>
  <c r="G17"/>
  <c r="G21" s="1"/>
  <c r="G22" s="1"/>
  <c r="H3" s="1"/>
  <c r="H22" s="1"/>
  <c r="I3" s="1"/>
  <c r="I22" s="1"/>
  <c r="J3" s="1"/>
  <c r="J22" s="1"/>
  <c r="K3" s="1"/>
  <c r="K22" s="1"/>
  <c r="L3" s="1"/>
  <c r="L22" s="1"/>
  <c r="M3" s="1"/>
  <c r="M22" s="1"/>
  <c r="N3" s="1"/>
  <c r="N22" s="1"/>
  <c r="O3" s="1"/>
  <c r="P13"/>
  <c r="O22" l="1"/>
  <c r="O17"/>
  <c r="P17"/>
  <c r="P22" s="1"/>
</calcChain>
</file>

<file path=xl/sharedStrings.xml><?xml version="1.0" encoding="utf-8"?>
<sst xmlns="http://schemas.openxmlformats.org/spreadsheetml/2006/main" count="221" uniqueCount="94">
  <si>
    <t>PRESUPUESTO DE VENTAS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</si>
  <si>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</si>
  <si>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</si>
  <si>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</si>
  <si>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</si>
  <si>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</si>
  <si>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</si>
  <si>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</si>
  <si>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</si>
  <si>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</si>
  <si>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</si>
  <si>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</si>
  <si>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</si>
  <si>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</si>
  <si>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AÑO</t>
  </si>
  <si>
    <t>IMPORTE TOTAL VENTAS</t>
  </si>
  <si>
    <t>Cobro a  clientes</t>
  </si>
  <si>
    <t>Importe pendiente de cobrar</t>
  </si>
  <si>
    <t>PRESUPUESTO DE COMPRAS</t>
  </si>
  <si>
    <t>DICIEMBRE</t>
  </si>
  <si>
    <t>Compras varias</t>
  </si>
  <si>
    <t>Pago a proveedores</t>
  </si>
  <si>
    <t>Importe pendiente de pagar</t>
  </si>
  <si>
    <t>PRESUPUESTO DE GASTOS GENERALES</t>
  </si>
  <si>
    <t>Gastos varios</t>
  </si>
  <si>
    <t>Primas de seguros</t>
  </si>
  <si>
    <t>Tributos</t>
  </si>
  <si>
    <t>Gastos comerciales</t>
  </si>
  <si>
    <t>Amortización</t>
  </si>
  <si>
    <t>Total Gastos Generales</t>
  </si>
  <si>
    <t>Total pagos de gastos generales</t>
  </si>
  <si>
    <t>CUENTA DE RESULTADOS PREVISIONAL</t>
  </si>
  <si>
    <t>INGRESOS DE EXPLOTACIÓN</t>
  </si>
  <si>
    <t>Importe Total de Ventas</t>
  </si>
  <si>
    <t>Otros ingresos</t>
  </si>
  <si>
    <t>GASTOS DE EXPLOTACIÓN</t>
  </si>
  <si>
    <t>Importe Total de Compras</t>
  </si>
  <si>
    <t>Total Gastos de Personal</t>
  </si>
  <si>
    <t>RESULTADO DE EXPLOTACIÓN</t>
  </si>
  <si>
    <t>Total de Ingresos Financieros</t>
  </si>
  <si>
    <t>Total de Gastos Financieros</t>
  </si>
  <si>
    <t>RESULTADO FINANCIERO</t>
  </si>
  <si>
    <t>RESULTADO MENSUAL</t>
  </si>
  <si>
    <t>PRESUPUESTO FINANCIERO</t>
  </si>
  <si>
    <t>(a)</t>
  </si>
  <si>
    <t>Intereses a cobrar</t>
  </si>
  <si>
    <t>(b)</t>
  </si>
  <si>
    <t>Dividendos a cobrar</t>
  </si>
  <si>
    <t>(c)</t>
  </si>
  <si>
    <t>Otros ingresos financieros</t>
  </si>
  <si>
    <t>(I) =a+b+c</t>
  </si>
  <si>
    <t>(d)</t>
  </si>
  <si>
    <t>Intereses a pagar</t>
  </si>
  <si>
    <t>(e)</t>
  </si>
  <si>
    <t>Comisiones financieras</t>
  </si>
  <si>
    <t>(f)</t>
  </si>
  <si>
    <t>Otros gastos financieros</t>
  </si>
  <si>
    <t>(II)= d+e+f</t>
  </si>
  <si>
    <t>I-II</t>
  </si>
  <si>
    <t>Resultado financiero</t>
  </si>
  <si>
    <t>SALDO INICIAL DE TESORERÍA</t>
  </si>
  <si>
    <t>COBROS DE EXPLOTACIÓN</t>
  </si>
  <si>
    <t>Cobros a clientes</t>
  </si>
  <si>
    <t>Otros cobros de explotación</t>
  </si>
  <si>
    <t>PAGOS DE EXPLOTACIÓN</t>
  </si>
  <si>
    <t>Pagos a proveedores</t>
  </si>
  <si>
    <t>Pagos a personal</t>
  </si>
  <si>
    <t>Pagos a acreedores por gastos generales</t>
  </si>
  <si>
    <t>FLUJOS DE CAJA OPERATIVOS</t>
  </si>
  <si>
    <t>Solicitud de préstamos</t>
  </si>
  <si>
    <t>Retirada de efectivo Crédito</t>
  </si>
  <si>
    <t>Devolución de principal de préstamos</t>
  </si>
  <si>
    <t>Devolución Crédito</t>
  </si>
  <si>
    <t>FLUJOS DE CAJA FINANCIEROS</t>
  </si>
  <si>
    <t>Cobros por desinversiones</t>
  </si>
  <si>
    <t>Pagos por inversiones</t>
  </si>
  <si>
    <t>FLUJOS DE CAJA DE INVERSIONES</t>
  </si>
  <si>
    <t>MOVIMIENTO MENSUAL DE TESORERÍA</t>
  </si>
  <si>
    <t>SALDO FINAL DE TESORERÍA</t>
  </si>
  <si>
    <t>PRESUPUESTO DE PERSONAL</t>
  </si>
  <si>
    <t>Salario por trabajador</t>
  </si>
  <si>
    <t>Total salario</t>
  </si>
  <si>
    <t>Retenciones IRPF</t>
  </si>
  <si>
    <t>Pagos de personal</t>
  </si>
  <si>
    <t>Jefe Administración</t>
  </si>
  <si>
    <t>Agentes Comerciales</t>
  </si>
  <si>
    <t>Resultado Financiero</t>
  </si>
  <si>
    <t>Traductores</t>
  </si>
  <si>
    <t>DESVIACION RELATIVA</t>
  </si>
  <si>
    <t>Pagos IRPF</t>
  </si>
  <si>
    <t>Pagos Seguridad Social</t>
  </si>
  <si>
    <t>Pago nóminas</t>
  </si>
  <si>
    <t>Seg. Social obrera</t>
  </si>
  <si>
    <t>Seg. Social patronal</t>
  </si>
</sst>
</file>

<file path=xl/styles.xml><?xml version="1.0" encoding="utf-8"?>
<styleSheet xmlns="http://schemas.openxmlformats.org/spreadsheetml/2006/main">
  <numFmts count="4">
    <numFmt numFmtId="164" formatCode="#,##0.00\ &quot;€&quot;"/>
    <numFmt numFmtId="165" formatCode="_-* #,##0.00\ [$€-C0A]_-;\-* #,##0.00\ [$€-C0A]_-;_-* &quot;-&quot;??\ [$€-C0A]_-;_-@"/>
    <numFmt numFmtId="166" formatCode="0.0%"/>
    <numFmt numFmtId="167" formatCode="_-* #,##0.00\ [$€-C0A]_-;\-* #,##0.00\ [$€-C0A]_-;_-* &quot;-&quot;??\ [$€-C0A]_-;_-@_-"/>
  </numFmts>
  <fonts count="8">
    <font>
      <sz val="10"/>
      <color rgb="FF000000"/>
      <name val="Arial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System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CCFFFF"/>
        <bgColor rgb="FFCCFFFF"/>
      </patternFill>
    </fill>
    <fill>
      <patternFill patternType="solid">
        <fgColor rgb="FF969696"/>
        <bgColor rgb="FF969696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/>
      <top/>
      <bottom/>
      <diagonal/>
    </border>
    <border>
      <left/>
      <right style="medium">
        <color rgb="FF008000"/>
      </right>
      <top/>
      <bottom/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/>
      <bottom style="medium">
        <color rgb="FF008000"/>
      </bottom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/>
      <right style="medium">
        <color rgb="FF008000"/>
      </right>
      <top/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 style="medium">
        <color rgb="FF008000"/>
      </right>
      <top/>
      <bottom style="medium">
        <color rgb="FF008000"/>
      </bottom>
      <diagonal/>
    </border>
    <border>
      <left style="medium">
        <color rgb="FF008000"/>
      </left>
      <right/>
      <top/>
      <bottom style="thin">
        <color rgb="FF000000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2" borderId="1" xfId="0" applyFont="1" applyFill="1" applyBorder="1"/>
    <xf numFmtId="0" fontId="1" fillId="2" borderId="6" xfId="0" applyFont="1" applyFill="1" applyBorder="1"/>
    <xf numFmtId="0" fontId="3" fillId="3" borderId="8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center"/>
    </xf>
    <xf numFmtId="0" fontId="5" fillId="4" borderId="8" xfId="0" applyFont="1" applyFill="1" applyBorder="1" applyAlignment="1">
      <alignment horizontal="left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/>
    </xf>
    <xf numFmtId="164" fontId="5" fillId="5" borderId="8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/>
    <xf numFmtId="0" fontId="1" fillId="2" borderId="11" xfId="0" applyFont="1" applyFill="1" applyBorder="1"/>
    <xf numFmtId="164" fontId="1" fillId="2" borderId="11" xfId="0" applyNumberFormat="1" applyFont="1" applyFill="1" applyBorder="1"/>
    <xf numFmtId="0" fontId="1" fillId="2" borderId="12" xfId="0" applyFont="1" applyFill="1" applyBorder="1"/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left" vertical="center" wrapText="1"/>
    </xf>
    <xf numFmtId="165" fontId="5" fillId="5" borderId="8" xfId="0" applyNumberFormat="1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/>
    <xf numFmtId="165" fontId="5" fillId="2" borderId="8" xfId="0" applyNumberFormat="1" applyFont="1" applyFill="1" applyBorder="1" applyAlignment="1">
      <alignment vertical="center" wrapText="1"/>
    </xf>
    <xf numFmtId="0" fontId="1" fillId="2" borderId="15" xfId="0" applyFont="1" applyFill="1" applyBorder="1"/>
    <xf numFmtId="164" fontId="5" fillId="4" borderId="8" xfId="0" applyNumberFormat="1" applyFont="1" applyFill="1" applyBorder="1" applyAlignment="1">
      <alignment horizontal="left" vertical="center" wrapText="1"/>
    </xf>
    <xf numFmtId="165" fontId="5" fillId="4" borderId="8" xfId="0" applyNumberFormat="1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165" fontId="6" fillId="2" borderId="8" xfId="0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right" vertical="center"/>
    </xf>
    <xf numFmtId="164" fontId="1" fillId="2" borderId="8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/>
    <xf numFmtId="0" fontId="5" fillId="2" borderId="8" xfId="0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5" borderId="8" xfId="0" applyNumberFormat="1" applyFont="1" applyFill="1" applyBorder="1" applyAlignment="1">
      <alignment horizontal="center" vertical="center" wrapText="1"/>
    </xf>
    <xf numFmtId="166" fontId="1" fillId="2" borderId="11" xfId="1" applyNumberFormat="1" applyFont="1" applyFill="1" applyBorder="1"/>
    <xf numFmtId="0" fontId="4" fillId="0" borderId="14" xfId="0" applyFont="1" applyBorder="1"/>
    <xf numFmtId="167" fontId="1" fillId="2" borderId="1" xfId="0" applyNumberFormat="1" applyFont="1" applyFill="1" applyBorder="1"/>
    <xf numFmtId="0" fontId="5" fillId="4" borderId="8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top" wrapText="1"/>
    </xf>
    <xf numFmtId="0" fontId="4" fillId="0" borderId="9" xfId="0" applyFont="1" applyBorder="1"/>
    <xf numFmtId="0" fontId="3" fillId="3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10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opLeftCell="B1" zoomScale="120" zoomScaleNormal="120" workbookViewId="0">
      <selection activeCell="C41" sqref="C41"/>
    </sheetView>
  </sheetViews>
  <sheetFormatPr baseColWidth="10" defaultColWidth="14.42578125" defaultRowHeight="15" customHeight="1"/>
  <cols>
    <col min="1" max="2" width="11.42578125" customWidth="1"/>
    <col min="3" max="3" width="32.5703125" customWidth="1"/>
    <col min="4" max="4" width="11.140625" customWidth="1"/>
    <col min="5" max="5" width="10.42578125" customWidth="1"/>
    <col min="6" max="17" width="12.7109375" customWidth="1"/>
    <col min="18" max="18" width="14.28515625" bestFit="1" customWidth="1"/>
    <col min="19" max="26" width="11.425781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5"/>
      <c r="C3" s="6" t="s">
        <v>0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"/>
      <c r="P3" s="1"/>
      <c r="Q3" s="1"/>
      <c r="R3" s="1"/>
      <c r="S3" s="7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7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5"/>
      <c r="C5" s="42"/>
      <c r="D5" s="40" t="s">
        <v>1</v>
      </c>
      <c r="E5" s="40" t="s">
        <v>2</v>
      </c>
      <c r="F5" s="40" t="s">
        <v>3</v>
      </c>
      <c r="G5" s="40" t="s">
        <v>4</v>
      </c>
      <c r="H5" s="40" t="s">
        <v>5</v>
      </c>
      <c r="I5" s="40" t="s">
        <v>6</v>
      </c>
      <c r="J5" s="40" t="s">
        <v>7</v>
      </c>
      <c r="K5" s="40" t="s">
        <v>8</v>
      </c>
      <c r="L5" s="40" t="s">
        <v>9</v>
      </c>
      <c r="M5" s="40" t="s">
        <v>10</v>
      </c>
      <c r="N5" s="40" t="s">
        <v>11</v>
      </c>
      <c r="O5" s="40" t="s">
        <v>12</v>
      </c>
      <c r="P5" s="40" t="s">
        <v>1</v>
      </c>
      <c r="Q5" s="40" t="s">
        <v>2</v>
      </c>
      <c r="R5" s="8" t="s">
        <v>13</v>
      </c>
      <c r="S5" s="7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5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8" t="s">
        <v>14</v>
      </c>
      <c r="S6" s="7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9"/>
      <c r="C7" s="10" t="s">
        <v>15</v>
      </c>
      <c r="D7" s="39">
        <v>220000</v>
      </c>
      <c r="E7" s="39">
        <v>230000</v>
      </c>
      <c r="F7" s="11">
        <v>250000</v>
      </c>
      <c r="G7" s="11">
        <f>F7*1.09</f>
        <v>272500</v>
      </c>
      <c r="H7" s="11">
        <f t="shared" ref="H7:Q7" si="0">G7*1.09</f>
        <v>297025</v>
      </c>
      <c r="I7" s="11">
        <f t="shared" si="0"/>
        <v>323757.25</v>
      </c>
      <c r="J7" s="11">
        <f t="shared" si="0"/>
        <v>352895.40250000003</v>
      </c>
      <c r="K7" s="11">
        <f t="shared" si="0"/>
        <v>384655.98872500006</v>
      </c>
      <c r="L7" s="11">
        <f t="shared" si="0"/>
        <v>419275.02771025011</v>
      </c>
      <c r="M7" s="11">
        <f t="shared" si="0"/>
        <v>457009.78020417265</v>
      </c>
      <c r="N7" s="11">
        <f t="shared" si="0"/>
        <v>498140.66042254824</v>
      </c>
      <c r="O7" s="11">
        <f t="shared" si="0"/>
        <v>542973.31986057758</v>
      </c>
      <c r="P7" s="11">
        <f t="shared" si="0"/>
        <v>591840.91864802956</v>
      </c>
      <c r="Q7" s="11">
        <f t="shared" si="0"/>
        <v>645106.60132635222</v>
      </c>
      <c r="R7" s="11">
        <f>SUM(F7:Q7)</f>
        <v>5035179.9493969306</v>
      </c>
      <c r="S7" s="12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9"/>
      <c r="C8" s="10" t="s">
        <v>16</v>
      </c>
      <c r="D8" s="10"/>
      <c r="E8" s="10"/>
      <c r="F8" s="13">
        <f>0.7*E7+0.3*D7</f>
        <v>227000</v>
      </c>
      <c r="G8" s="13">
        <f>0.7*F7+0.3*E7</f>
        <v>244000</v>
      </c>
      <c r="H8" s="13">
        <f t="shared" ref="H8:Q8" si="1">0.7*G7+0.3*F7</f>
        <v>265750</v>
      </c>
      <c r="I8" s="13">
        <f t="shared" si="1"/>
        <v>289667.5</v>
      </c>
      <c r="J8" s="13">
        <f t="shared" si="1"/>
        <v>315737.57499999995</v>
      </c>
      <c r="K8" s="13">
        <f t="shared" si="1"/>
        <v>344153.95675000001</v>
      </c>
      <c r="L8" s="13">
        <f t="shared" si="1"/>
        <v>375127.81285750004</v>
      </c>
      <c r="M8" s="13">
        <f t="shared" si="1"/>
        <v>408889.31601467507</v>
      </c>
      <c r="N8" s="13">
        <f t="shared" si="1"/>
        <v>445689.35445599584</v>
      </c>
      <c r="O8" s="13">
        <f t="shared" si="1"/>
        <v>485801.3963570355</v>
      </c>
      <c r="P8" s="13">
        <f t="shared" si="1"/>
        <v>529523.52202916879</v>
      </c>
      <c r="Q8" s="13">
        <f t="shared" si="1"/>
        <v>577180.63901179389</v>
      </c>
      <c r="R8" s="11">
        <f>SUM(F8:Q8)</f>
        <v>4508521.0724761691</v>
      </c>
      <c r="S8" s="12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9"/>
      <c r="C9" s="10" t="s">
        <v>17</v>
      </c>
      <c r="D9" s="10"/>
      <c r="E9" s="10"/>
      <c r="F9" s="13">
        <f>F7+E7*0.3</f>
        <v>319000</v>
      </c>
      <c r="G9" s="13">
        <f>G7+F7*0.3</f>
        <v>347500</v>
      </c>
      <c r="H9" s="13">
        <f t="shared" ref="H9:Q9" si="2">H7+G7*0.3</f>
        <v>378775</v>
      </c>
      <c r="I9" s="13">
        <f t="shared" si="2"/>
        <v>412864.75</v>
      </c>
      <c r="J9" s="13">
        <f t="shared" si="2"/>
        <v>450022.57750000001</v>
      </c>
      <c r="K9" s="13">
        <f t="shared" si="2"/>
        <v>490524.60947500006</v>
      </c>
      <c r="L9" s="13">
        <f t="shared" si="2"/>
        <v>534671.82432775013</v>
      </c>
      <c r="M9" s="13">
        <f t="shared" si="2"/>
        <v>582792.28851724765</v>
      </c>
      <c r="N9" s="13">
        <f t="shared" si="2"/>
        <v>635243.5944838</v>
      </c>
      <c r="O9" s="13">
        <f t="shared" si="2"/>
        <v>692415.51798734209</v>
      </c>
      <c r="P9" s="13">
        <f t="shared" si="2"/>
        <v>754732.91460620286</v>
      </c>
      <c r="Q9" s="13">
        <f t="shared" si="2"/>
        <v>822658.87692076107</v>
      </c>
      <c r="R9" s="11"/>
      <c r="S9" s="12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7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4"/>
      <c r="C11" s="15"/>
      <c r="D11" s="15"/>
      <c r="E11" s="15"/>
      <c r="F11" s="16"/>
      <c r="G11" s="16"/>
      <c r="H11" s="16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7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5">
    <mergeCell ref="O5:O6"/>
    <mergeCell ref="P5:P6"/>
    <mergeCell ref="Q5:Q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ageMargins left="0.75" right="0.75" top="1" bottom="1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00"/>
  <sheetViews>
    <sheetView topLeftCell="B1" zoomScale="120" zoomScaleNormal="120" workbookViewId="0">
      <selection activeCell="E9" sqref="E9"/>
    </sheetView>
  </sheetViews>
  <sheetFormatPr baseColWidth="10" defaultColWidth="14.42578125" defaultRowHeight="15" customHeight="1"/>
  <cols>
    <col min="1" max="2" width="11.42578125" customWidth="1"/>
    <col min="3" max="3" width="29.85546875" customWidth="1"/>
    <col min="4" max="4" width="12" customWidth="1"/>
    <col min="5" max="16" width="13.5703125" bestFit="1" customWidth="1"/>
    <col min="17" max="17" width="15.28515625" bestFit="1" customWidth="1"/>
    <col min="18" max="24" width="11.42578125" customWidth="1"/>
  </cols>
  <sheetData>
    <row r="1" spans="1:2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1"/>
      <c r="T2" s="1"/>
      <c r="U2" s="1"/>
      <c r="V2" s="1"/>
      <c r="W2" s="1"/>
      <c r="X2" s="1"/>
    </row>
    <row r="3" spans="1:24" ht="12.75" customHeight="1">
      <c r="A3" s="1"/>
      <c r="B3" s="5"/>
      <c r="C3" s="6" t="s">
        <v>18</v>
      </c>
      <c r="D3" s="6"/>
      <c r="E3" s="6"/>
      <c r="F3" s="6"/>
      <c r="G3" s="6"/>
      <c r="H3" s="6"/>
      <c r="I3" s="6"/>
      <c r="J3" s="6"/>
      <c r="K3" s="6"/>
      <c r="L3" s="6"/>
      <c r="M3" s="6"/>
      <c r="N3" s="1"/>
      <c r="O3" s="1"/>
      <c r="P3" s="1"/>
      <c r="Q3" s="1"/>
      <c r="R3" s="7"/>
      <c r="S3" s="1"/>
      <c r="T3" s="1"/>
      <c r="U3" s="1"/>
      <c r="V3" s="1"/>
      <c r="W3" s="1"/>
      <c r="X3" s="1"/>
    </row>
    <row r="4" spans="1:24" ht="12.75" customHeight="1">
      <c r="A4" s="1"/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7"/>
      <c r="S4" s="1"/>
      <c r="T4" s="1"/>
      <c r="U4" s="1"/>
      <c r="V4" s="1"/>
      <c r="W4" s="1"/>
      <c r="X4" s="1"/>
    </row>
    <row r="5" spans="1:24" ht="13.5" customHeight="1">
      <c r="A5" s="1"/>
      <c r="B5" s="5"/>
      <c r="C5" s="42"/>
      <c r="D5" s="18"/>
      <c r="E5" s="40" t="s">
        <v>3</v>
      </c>
      <c r="F5" s="40" t="s">
        <v>4</v>
      </c>
      <c r="G5" s="40" t="s">
        <v>5</v>
      </c>
      <c r="H5" s="40" t="s">
        <v>6</v>
      </c>
      <c r="I5" s="40" t="s">
        <v>7</v>
      </c>
      <c r="J5" s="40" t="s">
        <v>8</v>
      </c>
      <c r="K5" s="40" t="s">
        <v>9</v>
      </c>
      <c r="L5" s="40" t="s">
        <v>10</v>
      </c>
      <c r="M5" s="40" t="s">
        <v>11</v>
      </c>
      <c r="N5" s="40" t="s">
        <v>12</v>
      </c>
      <c r="O5" s="40" t="s">
        <v>1</v>
      </c>
      <c r="P5" s="40" t="s">
        <v>2</v>
      </c>
      <c r="Q5" s="8" t="s">
        <v>13</v>
      </c>
      <c r="R5" s="7"/>
      <c r="S5" s="1"/>
      <c r="T5" s="1"/>
      <c r="U5" s="1"/>
      <c r="V5" s="1"/>
      <c r="W5" s="1"/>
      <c r="X5" s="1"/>
    </row>
    <row r="6" spans="1:24" ht="12.75" customHeight="1">
      <c r="A6" s="1"/>
      <c r="B6" s="5"/>
      <c r="C6" s="41"/>
      <c r="D6" s="19" t="s">
        <v>19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8" t="s">
        <v>14</v>
      </c>
      <c r="R6" s="7"/>
      <c r="S6" s="1"/>
      <c r="T6" s="1"/>
      <c r="U6" s="1"/>
      <c r="V6" s="1"/>
      <c r="W6" s="1"/>
      <c r="X6" s="1"/>
    </row>
    <row r="7" spans="1:24" ht="12.75" customHeight="1">
      <c r="A7" s="1"/>
      <c r="B7" s="5"/>
      <c r="C7" s="10" t="s">
        <v>20</v>
      </c>
      <c r="D7" s="39">
        <v>180000</v>
      </c>
      <c r="E7" s="20">
        <v>200000</v>
      </c>
      <c r="F7" s="20">
        <f>E7+10000</f>
        <v>210000</v>
      </c>
      <c r="G7" s="20">
        <f t="shared" ref="G7:P7" si="0">F7+10000</f>
        <v>220000</v>
      </c>
      <c r="H7" s="20">
        <f t="shared" si="0"/>
        <v>230000</v>
      </c>
      <c r="I7" s="20">
        <f t="shared" si="0"/>
        <v>240000</v>
      </c>
      <c r="J7" s="20">
        <f t="shared" si="0"/>
        <v>250000</v>
      </c>
      <c r="K7" s="20">
        <f t="shared" si="0"/>
        <v>260000</v>
      </c>
      <c r="L7" s="20">
        <f t="shared" si="0"/>
        <v>270000</v>
      </c>
      <c r="M7" s="20">
        <f t="shared" si="0"/>
        <v>280000</v>
      </c>
      <c r="N7" s="20">
        <f t="shared" si="0"/>
        <v>290000</v>
      </c>
      <c r="O7" s="20">
        <f t="shared" si="0"/>
        <v>300000</v>
      </c>
      <c r="P7" s="20">
        <f t="shared" si="0"/>
        <v>310000</v>
      </c>
      <c r="Q7" s="20">
        <f>SUM(E7:P7)</f>
        <v>3060000</v>
      </c>
      <c r="R7" s="12"/>
      <c r="S7" s="1"/>
      <c r="T7" s="1"/>
      <c r="U7" s="1"/>
      <c r="V7" s="1"/>
      <c r="W7" s="1"/>
      <c r="X7" s="1"/>
    </row>
    <row r="8" spans="1:24" ht="12.75" customHeight="1">
      <c r="A8" s="1"/>
      <c r="B8" s="5"/>
      <c r="C8" s="10" t="s">
        <v>21</v>
      </c>
      <c r="D8" s="10"/>
      <c r="E8" s="21">
        <f>E7*0.8+D7*0.2</f>
        <v>196000</v>
      </c>
      <c r="F8" s="21">
        <f>F7*0.8+E7*0.2</f>
        <v>208000</v>
      </c>
      <c r="G8" s="21">
        <f t="shared" ref="G8:P8" si="1">G7*0.8+F7*0.2</f>
        <v>218000</v>
      </c>
      <c r="H8" s="21">
        <f t="shared" si="1"/>
        <v>228000</v>
      </c>
      <c r="I8" s="21">
        <f t="shared" si="1"/>
        <v>238000</v>
      </c>
      <c r="J8" s="21">
        <f t="shared" si="1"/>
        <v>248000</v>
      </c>
      <c r="K8" s="21">
        <f t="shared" si="1"/>
        <v>258000</v>
      </c>
      <c r="L8" s="21">
        <f t="shared" si="1"/>
        <v>268000</v>
      </c>
      <c r="M8" s="21">
        <f t="shared" si="1"/>
        <v>278000</v>
      </c>
      <c r="N8" s="21">
        <f t="shared" si="1"/>
        <v>288000</v>
      </c>
      <c r="O8" s="21">
        <f t="shared" si="1"/>
        <v>298000</v>
      </c>
      <c r="P8" s="21">
        <f t="shared" si="1"/>
        <v>308000</v>
      </c>
      <c r="Q8" s="20">
        <f>SUM(E8:P8)</f>
        <v>3034000</v>
      </c>
      <c r="R8" s="12"/>
      <c r="S8" s="1"/>
      <c r="T8" s="1"/>
      <c r="U8" s="1"/>
      <c r="V8" s="1"/>
      <c r="W8" s="1"/>
      <c r="X8" s="1"/>
    </row>
    <row r="9" spans="1:24" ht="12.75" customHeight="1">
      <c r="A9" s="1"/>
      <c r="B9" s="5"/>
      <c r="C9" s="10" t="s">
        <v>22</v>
      </c>
      <c r="D9" s="10"/>
      <c r="E9" s="21">
        <f>E7*0.2</f>
        <v>40000</v>
      </c>
      <c r="F9" s="21">
        <f>F7*0.2</f>
        <v>42000</v>
      </c>
      <c r="G9" s="21">
        <f t="shared" ref="G9:P9" si="2">G7*0.2</f>
        <v>44000</v>
      </c>
      <c r="H9" s="21">
        <f t="shared" si="2"/>
        <v>46000</v>
      </c>
      <c r="I9" s="21">
        <f t="shared" si="2"/>
        <v>48000</v>
      </c>
      <c r="J9" s="21">
        <f t="shared" si="2"/>
        <v>50000</v>
      </c>
      <c r="K9" s="21">
        <f t="shared" si="2"/>
        <v>52000</v>
      </c>
      <c r="L9" s="21">
        <f t="shared" si="2"/>
        <v>54000</v>
      </c>
      <c r="M9" s="21">
        <f t="shared" si="2"/>
        <v>56000</v>
      </c>
      <c r="N9" s="21">
        <f t="shared" si="2"/>
        <v>58000</v>
      </c>
      <c r="O9" s="21">
        <f t="shared" si="2"/>
        <v>60000</v>
      </c>
      <c r="P9" s="21">
        <f t="shared" si="2"/>
        <v>62000</v>
      </c>
      <c r="Q9" s="22"/>
      <c r="R9" s="12"/>
      <c r="S9" s="1"/>
      <c r="T9" s="1"/>
      <c r="U9" s="1"/>
      <c r="V9" s="1"/>
      <c r="W9" s="1"/>
      <c r="X9" s="1"/>
    </row>
    <row r="10" spans="1:24" ht="12.75" customHeight="1">
      <c r="A10" s="1"/>
      <c r="B10" s="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2"/>
      <c r="S10" s="1"/>
      <c r="T10" s="1"/>
      <c r="U10" s="1"/>
      <c r="V10" s="1"/>
      <c r="W10" s="1"/>
      <c r="X10" s="1"/>
    </row>
    <row r="11" spans="1:24" ht="12.75" customHeight="1">
      <c r="A11" s="1"/>
      <c r="B11" s="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2"/>
      <c r="S11" s="1"/>
      <c r="T11" s="1"/>
      <c r="U11" s="1"/>
      <c r="V11" s="1"/>
      <c r="W11" s="1"/>
      <c r="X11" s="1"/>
    </row>
    <row r="12" spans="1:24" ht="12.75" customHeight="1">
      <c r="A12" s="1"/>
      <c r="B12" s="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2"/>
      <c r="S12" s="1"/>
      <c r="T12" s="1"/>
      <c r="U12" s="1"/>
      <c r="V12" s="1"/>
      <c r="W12" s="1"/>
      <c r="X12" s="1"/>
    </row>
    <row r="13" spans="1:24" ht="12.75" customHeight="1">
      <c r="A13" s="1"/>
      <c r="B13" s="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23"/>
      <c r="R13" s="12"/>
      <c r="S13" s="1"/>
      <c r="T13" s="1"/>
      <c r="U13" s="1"/>
      <c r="V13" s="1"/>
      <c r="W13" s="1"/>
      <c r="X13" s="1"/>
    </row>
    <row r="14" spans="1:24" ht="12.75" customHeight="1">
      <c r="A14" s="1"/>
      <c r="B14" s="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2"/>
      <c r="S14" s="1"/>
      <c r="T14" s="1"/>
      <c r="U14" s="1"/>
      <c r="V14" s="1"/>
      <c r="W14" s="1"/>
      <c r="X14" s="1"/>
    </row>
    <row r="15" spans="1:24" ht="12.75" customHeight="1">
      <c r="A15" s="1"/>
      <c r="B15" s="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2"/>
      <c r="S15" s="1"/>
      <c r="T15" s="1"/>
      <c r="U15" s="1"/>
      <c r="V15" s="1"/>
      <c r="W15" s="1"/>
      <c r="X15" s="1"/>
    </row>
    <row r="16" spans="1:24" ht="12.75" customHeight="1">
      <c r="A16" s="1"/>
      <c r="B16" s="5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2"/>
      <c r="S16" s="1"/>
      <c r="T16" s="1"/>
      <c r="U16" s="1"/>
      <c r="V16" s="1"/>
      <c r="W16" s="1"/>
      <c r="X16" s="1"/>
    </row>
    <row r="17" spans="1:24" ht="12.75" customHeight="1">
      <c r="A17" s="1"/>
      <c r="B17" s="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2"/>
      <c r="S17" s="1"/>
      <c r="T17" s="1"/>
      <c r="U17" s="1"/>
      <c r="V17" s="1"/>
      <c r="W17" s="1"/>
      <c r="X17" s="1"/>
    </row>
    <row r="18" spans="1:24" ht="12.75" customHeight="1">
      <c r="A18" s="1"/>
      <c r="B18" s="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7"/>
      <c r="S18" s="1"/>
      <c r="T18" s="1"/>
      <c r="U18" s="1"/>
      <c r="V18" s="1"/>
      <c r="W18" s="1"/>
      <c r="X18" s="1"/>
    </row>
    <row r="19" spans="1:24" ht="12.75" customHeight="1">
      <c r="A19" s="1"/>
      <c r="B19" s="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7"/>
      <c r="S19" s="1"/>
      <c r="T19" s="1"/>
      <c r="U19" s="1"/>
      <c r="V19" s="1"/>
      <c r="W19" s="1"/>
      <c r="X19" s="1"/>
    </row>
    <row r="20" spans="1:24" ht="12.75" customHeight="1">
      <c r="A20" s="1"/>
      <c r="B20" s="5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7"/>
      <c r="S20" s="1"/>
      <c r="T20" s="1"/>
      <c r="U20" s="1"/>
      <c r="V20" s="1"/>
      <c r="W20" s="1"/>
      <c r="X20" s="1"/>
    </row>
    <row r="21" spans="1:24" ht="12.75" customHeight="1">
      <c r="A21" s="1"/>
      <c r="B21" s="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7"/>
      <c r="S21" s="1"/>
      <c r="T21" s="1"/>
      <c r="U21" s="1"/>
      <c r="V21" s="1"/>
      <c r="W21" s="1"/>
      <c r="X21" s="1"/>
    </row>
    <row r="22" spans="1:24" ht="12.75" customHeight="1">
      <c r="A22" s="1"/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7"/>
      <c r="S22" s="1"/>
      <c r="T22" s="1"/>
      <c r="U22" s="1"/>
      <c r="V22" s="1"/>
      <c r="W22" s="1"/>
      <c r="X22" s="1"/>
    </row>
    <row r="23" spans="1:24" ht="12.75" customHeight="1">
      <c r="A23" s="1"/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7"/>
      <c r="S23" s="1"/>
      <c r="T23" s="1"/>
      <c r="U23" s="1"/>
      <c r="V23" s="1"/>
      <c r="W23" s="1"/>
      <c r="X23" s="1"/>
    </row>
    <row r="24" spans="1:24" ht="12.75" customHeight="1">
      <c r="A24" s="1"/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7"/>
      <c r="S24" s="1"/>
      <c r="T24" s="1"/>
      <c r="U24" s="1"/>
      <c r="V24" s="1"/>
      <c r="W24" s="1"/>
      <c r="X24" s="1"/>
    </row>
    <row r="25" spans="1:24" ht="12.75" customHeight="1">
      <c r="A25" s="1"/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7"/>
      <c r="S25" s="1"/>
      <c r="T25" s="1"/>
      <c r="U25" s="1"/>
      <c r="V25" s="1"/>
      <c r="W25" s="1"/>
      <c r="X25" s="1"/>
    </row>
    <row r="26" spans="1:24" ht="12.75" customHeight="1">
      <c r="A26" s="1"/>
      <c r="B26" s="1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7"/>
      <c r="S26" s="1"/>
      <c r="T26" s="1"/>
      <c r="U26" s="1"/>
      <c r="V26" s="1"/>
      <c r="W26" s="1"/>
      <c r="X26" s="1"/>
    </row>
    <row r="27" spans="1:24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mergeCells count="13">
    <mergeCell ref="P5:P6"/>
    <mergeCell ref="C5:C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04"/>
  <sheetViews>
    <sheetView topLeftCell="A4" zoomScale="110" zoomScaleNormal="110" workbookViewId="0">
      <selection activeCell="J32" sqref="J32"/>
    </sheetView>
  </sheetViews>
  <sheetFormatPr baseColWidth="10" defaultColWidth="14.42578125" defaultRowHeight="15" customHeight="1"/>
  <cols>
    <col min="1" max="2" width="11.42578125" customWidth="1"/>
    <col min="3" max="3" width="29.85546875" customWidth="1"/>
    <col min="4" max="4" width="15.140625" customWidth="1"/>
    <col min="5" max="16" width="12.7109375" customWidth="1"/>
    <col min="17" max="17" width="13.5703125" customWidth="1"/>
    <col min="18" max="27" width="11.42578125" customWidth="1"/>
  </cols>
  <sheetData>
    <row r="1" spans="1:27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1"/>
      <c r="T2" s="1"/>
      <c r="U2" s="1"/>
      <c r="V2" s="1"/>
      <c r="W2" s="1"/>
      <c r="X2" s="1"/>
      <c r="Y2" s="1"/>
      <c r="Z2" s="1"/>
      <c r="AA2" s="1"/>
    </row>
    <row r="3" spans="1:27" ht="12.75" customHeight="1">
      <c r="A3" s="1"/>
      <c r="B3" s="5"/>
      <c r="C3" s="6" t="s">
        <v>79</v>
      </c>
      <c r="D3" s="6"/>
      <c r="E3" s="6"/>
      <c r="F3" s="6"/>
      <c r="G3" s="6"/>
      <c r="H3" s="6"/>
      <c r="I3" s="6"/>
      <c r="J3" s="6"/>
      <c r="K3" s="6"/>
      <c r="L3" s="6"/>
      <c r="M3" s="6"/>
      <c r="N3" s="1"/>
      <c r="O3" s="1"/>
      <c r="P3" s="1"/>
      <c r="Q3" s="1"/>
      <c r="R3" s="7"/>
      <c r="S3" s="1"/>
      <c r="T3" s="1"/>
      <c r="U3" s="1"/>
      <c r="V3" s="1"/>
      <c r="W3" s="1"/>
      <c r="X3" s="1"/>
      <c r="Y3" s="1"/>
      <c r="Z3" s="1"/>
      <c r="AA3" s="1"/>
    </row>
    <row r="4" spans="1:27" ht="12.75" customHeight="1">
      <c r="A4" s="1"/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7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>
      <c r="A5" s="1"/>
      <c r="B5" s="5"/>
      <c r="C5" s="42"/>
      <c r="D5" s="18" t="s">
        <v>2</v>
      </c>
      <c r="E5" s="40" t="s">
        <v>3</v>
      </c>
      <c r="F5" s="40" t="s">
        <v>4</v>
      </c>
      <c r="G5" s="40" t="s">
        <v>5</v>
      </c>
      <c r="H5" s="40" t="s">
        <v>6</v>
      </c>
      <c r="I5" s="40" t="s">
        <v>7</v>
      </c>
      <c r="J5" s="40" t="s">
        <v>8</v>
      </c>
      <c r="K5" s="40" t="s">
        <v>9</v>
      </c>
      <c r="L5" s="40" t="s">
        <v>10</v>
      </c>
      <c r="M5" s="40" t="s">
        <v>11</v>
      </c>
      <c r="N5" s="40" t="s">
        <v>12</v>
      </c>
      <c r="O5" s="40" t="s">
        <v>1</v>
      </c>
      <c r="P5" s="40" t="s">
        <v>2</v>
      </c>
      <c r="Q5" s="8" t="s">
        <v>13</v>
      </c>
      <c r="R5" s="7"/>
      <c r="S5" s="1"/>
      <c r="T5" s="1"/>
      <c r="U5" s="1"/>
      <c r="V5" s="1"/>
      <c r="W5" s="1"/>
      <c r="X5" s="1"/>
      <c r="Y5" s="1"/>
      <c r="Z5" s="1"/>
      <c r="AA5" s="1"/>
    </row>
    <row r="6" spans="1:27" ht="12.75" customHeight="1">
      <c r="A6" s="1"/>
      <c r="B6" s="5"/>
      <c r="C6" s="41"/>
      <c r="D6" s="37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8" t="s">
        <v>14</v>
      </c>
      <c r="R6" s="7"/>
      <c r="S6" s="1"/>
      <c r="T6" s="1"/>
      <c r="U6" s="1"/>
      <c r="V6" s="1"/>
      <c r="W6" s="1"/>
      <c r="X6" s="1"/>
      <c r="Y6" s="1"/>
      <c r="Z6" s="1"/>
      <c r="AA6" s="1"/>
    </row>
    <row r="7" spans="1:27" ht="12.75" customHeight="1">
      <c r="A7" s="1"/>
      <c r="B7" s="9"/>
      <c r="C7" s="10" t="s">
        <v>87</v>
      </c>
      <c r="D7" s="33">
        <v>2</v>
      </c>
      <c r="E7" s="33">
        <v>2</v>
      </c>
      <c r="F7" s="33">
        <v>2</v>
      </c>
      <c r="G7" s="33">
        <v>2</v>
      </c>
      <c r="H7" s="33">
        <v>2</v>
      </c>
      <c r="I7" s="33">
        <v>2</v>
      </c>
      <c r="J7" s="33">
        <v>2</v>
      </c>
      <c r="K7" s="33">
        <v>2</v>
      </c>
      <c r="L7" s="33">
        <v>2</v>
      </c>
      <c r="M7" s="33">
        <v>2</v>
      </c>
      <c r="N7" s="33">
        <v>2</v>
      </c>
      <c r="O7" s="33">
        <v>2</v>
      </c>
      <c r="P7" s="33">
        <v>2</v>
      </c>
      <c r="Q7" s="22"/>
      <c r="R7" s="12"/>
      <c r="S7" s="1"/>
      <c r="T7" s="1"/>
      <c r="U7" s="1"/>
      <c r="V7" s="1"/>
      <c r="W7" s="1"/>
      <c r="X7" s="1"/>
      <c r="Y7" s="1"/>
      <c r="Z7" s="1"/>
      <c r="AA7" s="1"/>
    </row>
    <row r="8" spans="1:27" ht="12.75" customHeight="1">
      <c r="A8" s="1"/>
      <c r="B8" s="9"/>
      <c r="C8" s="10" t="s">
        <v>80</v>
      </c>
      <c r="D8" s="34">
        <v>1900</v>
      </c>
      <c r="E8" s="34">
        <v>1900</v>
      </c>
      <c r="F8" s="34">
        <v>1900</v>
      </c>
      <c r="G8" s="34">
        <v>1900</v>
      </c>
      <c r="H8" s="34">
        <v>1900</v>
      </c>
      <c r="I8" s="34">
        <v>1900</v>
      </c>
      <c r="J8" s="34">
        <v>1900</v>
      </c>
      <c r="K8" s="34">
        <v>1900</v>
      </c>
      <c r="L8" s="34">
        <v>1900</v>
      </c>
      <c r="M8" s="34">
        <v>1900</v>
      </c>
      <c r="N8" s="34">
        <v>1900</v>
      </c>
      <c r="O8" s="34">
        <v>1900</v>
      </c>
      <c r="P8" s="34">
        <v>1900</v>
      </c>
      <c r="Q8" s="22"/>
      <c r="R8" s="12"/>
      <c r="S8" s="1"/>
      <c r="T8" s="1"/>
      <c r="U8" s="1"/>
      <c r="V8" s="1"/>
      <c r="W8" s="1"/>
      <c r="X8" s="1"/>
      <c r="Y8" s="1"/>
      <c r="Z8" s="1"/>
      <c r="AA8" s="1"/>
    </row>
    <row r="9" spans="1:27" ht="12.75" customHeight="1">
      <c r="A9" s="1"/>
      <c r="B9" s="9"/>
      <c r="C9" s="10" t="s">
        <v>84</v>
      </c>
      <c r="D9" s="33">
        <v>1</v>
      </c>
      <c r="E9" s="33">
        <v>1</v>
      </c>
      <c r="F9" s="33">
        <v>1</v>
      </c>
      <c r="G9" s="33">
        <v>1</v>
      </c>
      <c r="H9" s="33">
        <v>1</v>
      </c>
      <c r="I9" s="33">
        <v>1</v>
      </c>
      <c r="J9" s="33">
        <v>1</v>
      </c>
      <c r="K9" s="33">
        <v>1</v>
      </c>
      <c r="L9" s="33">
        <v>1</v>
      </c>
      <c r="M9" s="33">
        <v>1</v>
      </c>
      <c r="N9" s="33">
        <v>1</v>
      </c>
      <c r="O9" s="33">
        <v>1</v>
      </c>
      <c r="P9" s="33">
        <v>1</v>
      </c>
      <c r="Q9" s="22"/>
      <c r="R9" s="12"/>
      <c r="S9" s="1"/>
      <c r="T9" s="1"/>
      <c r="U9" s="1"/>
      <c r="V9" s="1"/>
      <c r="W9" s="1"/>
      <c r="X9" s="1"/>
      <c r="Y9" s="1"/>
      <c r="Z9" s="1"/>
      <c r="AA9" s="1"/>
    </row>
    <row r="10" spans="1:27" ht="12.75" customHeight="1">
      <c r="A10" s="1"/>
      <c r="B10" s="9"/>
      <c r="C10" s="10" t="s">
        <v>80</v>
      </c>
      <c r="D10" s="34">
        <v>3200</v>
      </c>
      <c r="E10" s="34">
        <v>1600</v>
      </c>
      <c r="F10" s="34">
        <v>1600</v>
      </c>
      <c r="G10" s="34">
        <v>1600</v>
      </c>
      <c r="H10" s="34">
        <v>1600</v>
      </c>
      <c r="I10" s="34">
        <v>1600</v>
      </c>
      <c r="J10" s="34">
        <v>3200</v>
      </c>
      <c r="K10" s="34">
        <v>1600</v>
      </c>
      <c r="L10" s="34">
        <v>1600</v>
      </c>
      <c r="M10" s="34">
        <v>1600</v>
      </c>
      <c r="N10" s="34">
        <v>1600</v>
      </c>
      <c r="O10" s="34">
        <v>1600</v>
      </c>
      <c r="P10" s="34">
        <v>3200</v>
      </c>
      <c r="Q10" s="22"/>
      <c r="R10" s="12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 customHeight="1">
      <c r="A11" s="1"/>
      <c r="B11" s="9"/>
      <c r="C11" s="10" t="s">
        <v>85</v>
      </c>
      <c r="D11" s="33">
        <v>2</v>
      </c>
      <c r="E11" s="33">
        <v>2</v>
      </c>
      <c r="F11" s="33">
        <v>2</v>
      </c>
      <c r="G11" s="33">
        <v>2</v>
      </c>
      <c r="H11" s="33">
        <v>2</v>
      </c>
      <c r="I11" s="33">
        <v>2</v>
      </c>
      <c r="J11" s="33">
        <v>2</v>
      </c>
      <c r="K11" s="33">
        <v>2</v>
      </c>
      <c r="L11" s="33">
        <v>2</v>
      </c>
      <c r="M11" s="33">
        <v>2</v>
      </c>
      <c r="N11" s="33">
        <v>2</v>
      </c>
      <c r="O11" s="33">
        <v>2</v>
      </c>
      <c r="P11" s="33">
        <v>2</v>
      </c>
      <c r="Q11" s="22"/>
      <c r="R11" s="12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 customHeight="1">
      <c r="A12" s="1"/>
      <c r="B12" s="9"/>
      <c r="C12" s="10" t="s">
        <v>80</v>
      </c>
      <c r="D12" s="34">
        <f>0.005*'VENTAS '!E7</f>
        <v>1150</v>
      </c>
      <c r="E12" s="34">
        <f>0.005*'VENTAS '!F7</f>
        <v>1250</v>
      </c>
      <c r="F12" s="34">
        <f>0.005*'VENTAS '!G7</f>
        <v>1362.5</v>
      </c>
      <c r="G12" s="34">
        <f>0.005*'VENTAS '!H7</f>
        <v>1485.125</v>
      </c>
      <c r="H12" s="34">
        <f>0.005*'VENTAS '!I7</f>
        <v>1618.7862500000001</v>
      </c>
      <c r="I12" s="34">
        <f>0.005*'VENTAS '!J7</f>
        <v>1764.4770125000002</v>
      </c>
      <c r="J12" s="34">
        <f>0.005*'VENTAS '!K7</f>
        <v>1923.2799436250004</v>
      </c>
      <c r="K12" s="34">
        <f>0.005*'VENTAS '!L7</f>
        <v>2096.3751385512505</v>
      </c>
      <c r="L12" s="34">
        <f>0.005*'VENTAS '!M7</f>
        <v>2285.0489010208635</v>
      </c>
      <c r="M12" s="34">
        <f>0.005*'VENTAS '!N7</f>
        <v>2490.7033021127413</v>
      </c>
      <c r="N12" s="34">
        <f>0.005*'VENTAS '!O7</f>
        <v>2714.8665993028881</v>
      </c>
      <c r="O12" s="34">
        <f>0.005*'VENTAS '!P7</f>
        <v>2959.2045932401479</v>
      </c>
      <c r="P12" s="34">
        <f>0.005*'VENTAS '!Q7</f>
        <v>3225.5330066317611</v>
      </c>
      <c r="Q12" s="22"/>
      <c r="R12" s="12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 customHeight="1">
      <c r="A13" s="1"/>
      <c r="B13" s="9"/>
      <c r="C13" s="10" t="s">
        <v>81</v>
      </c>
      <c r="D13" s="34">
        <f>D7*D8+D9*D10+D11*D12</f>
        <v>9300</v>
      </c>
      <c r="E13" s="34">
        <f>E7*E8+E9*E10+E11*E12</f>
        <v>7900</v>
      </c>
      <c r="F13" s="34">
        <f t="shared" ref="F13:P13" si="0">F7*F8+F9*F10+F11*F12</f>
        <v>8125</v>
      </c>
      <c r="G13" s="34">
        <f t="shared" si="0"/>
        <v>8370.25</v>
      </c>
      <c r="H13" s="34">
        <f t="shared" si="0"/>
        <v>8637.5725000000002</v>
      </c>
      <c r="I13" s="34">
        <f t="shared" si="0"/>
        <v>8928.9540250000009</v>
      </c>
      <c r="J13" s="34">
        <f t="shared" si="0"/>
        <v>10846.559887250001</v>
      </c>
      <c r="K13" s="34">
        <f t="shared" si="0"/>
        <v>9592.7502771025011</v>
      </c>
      <c r="L13" s="34">
        <f t="shared" si="0"/>
        <v>9970.0978020417278</v>
      </c>
      <c r="M13" s="34">
        <f t="shared" si="0"/>
        <v>10381.406604225482</v>
      </c>
      <c r="N13" s="34">
        <f t="shared" si="0"/>
        <v>10829.733198605776</v>
      </c>
      <c r="O13" s="34">
        <f t="shared" si="0"/>
        <v>11318.409186480296</v>
      </c>
      <c r="P13" s="34">
        <f t="shared" si="0"/>
        <v>13451.066013263522</v>
      </c>
      <c r="Q13" s="34">
        <f>SUM(E13:P13)</f>
        <v>118351.7994939693</v>
      </c>
      <c r="R13" s="12"/>
      <c r="S13" s="1"/>
      <c r="T13" s="1"/>
      <c r="U13" s="1"/>
      <c r="V13" s="1"/>
      <c r="W13" s="1"/>
      <c r="X13" s="1"/>
      <c r="Y13" s="1"/>
      <c r="Z13" s="1"/>
      <c r="AA13" s="1"/>
    </row>
    <row r="14" spans="1:27" ht="12.75" customHeight="1">
      <c r="A14" s="1"/>
      <c r="B14" s="9"/>
      <c r="C14" s="10" t="s">
        <v>82</v>
      </c>
      <c r="D14" s="34">
        <f>0.16*D13</f>
        <v>1488</v>
      </c>
      <c r="E14" s="34">
        <f>0.16*E13</f>
        <v>1264</v>
      </c>
      <c r="F14" s="34">
        <f t="shared" ref="F14:P14" si="1">0.16*F13</f>
        <v>1300</v>
      </c>
      <c r="G14" s="34">
        <f t="shared" si="1"/>
        <v>1339.24</v>
      </c>
      <c r="H14" s="34">
        <f t="shared" si="1"/>
        <v>1382.0116</v>
      </c>
      <c r="I14" s="34">
        <f t="shared" si="1"/>
        <v>1428.6326440000003</v>
      </c>
      <c r="J14" s="34">
        <f t="shared" si="1"/>
        <v>1735.4495819600002</v>
      </c>
      <c r="K14" s="34">
        <f t="shared" si="1"/>
        <v>1534.8400443364003</v>
      </c>
      <c r="L14" s="34">
        <f t="shared" si="1"/>
        <v>1595.2156483266765</v>
      </c>
      <c r="M14" s="34">
        <f t="shared" si="1"/>
        <v>1661.0250566760772</v>
      </c>
      <c r="N14" s="34">
        <f t="shared" si="1"/>
        <v>1732.7573117769243</v>
      </c>
      <c r="O14" s="34">
        <f t="shared" si="1"/>
        <v>1810.9454698368475</v>
      </c>
      <c r="P14" s="34">
        <f t="shared" si="1"/>
        <v>2152.1705621221636</v>
      </c>
      <c r="Q14" s="34">
        <f t="shared" ref="Q14" si="2">0.14*Q13</f>
        <v>16569.251929155704</v>
      </c>
      <c r="R14" s="12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 customHeight="1" thickBot="1">
      <c r="A15" s="1"/>
      <c r="B15" s="9"/>
      <c r="C15" s="10" t="s">
        <v>93</v>
      </c>
      <c r="D15" s="34">
        <f>0.29*D13</f>
        <v>2697</v>
      </c>
      <c r="E15" s="34">
        <f>0.29*E13</f>
        <v>2291</v>
      </c>
      <c r="F15" s="34">
        <f t="shared" ref="F15:Q15" si="3">0.29*F13</f>
        <v>2356.25</v>
      </c>
      <c r="G15" s="34">
        <f t="shared" si="3"/>
        <v>2427.3724999999999</v>
      </c>
      <c r="H15" s="34">
        <f t="shared" si="3"/>
        <v>2504.896025</v>
      </c>
      <c r="I15" s="34">
        <f t="shared" si="3"/>
        <v>2589.3966672500001</v>
      </c>
      <c r="J15" s="34">
        <f t="shared" si="3"/>
        <v>3145.5023673025003</v>
      </c>
      <c r="K15" s="34">
        <f t="shared" si="3"/>
        <v>2781.897580359725</v>
      </c>
      <c r="L15" s="34">
        <f t="shared" si="3"/>
        <v>2891.3283625921008</v>
      </c>
      <c r="M15" s="34">
        <f t="shared" si="3"/>
        <v>3010.6079152253897</v>
      </c>
      <c r="N15" s="34">
        <f t="shared" si="3"/>
        <v>3140.6226275956747</v>
      </c>
      <c r="O15" s="34">
        <f t="shared" si="3"/>
        <v>3282.3386640792855</v>
      </c>
      <c r="P15" s="34">
        <f t="shared" si="3"/>
        <v>3900.8091438464212</v>
      </c>
      <c r="Q15" s="34">
        <f t="shared" si="3"/>
        <v>34322.021853251092</v>
      </c>
      <c r="R15" s="12"/>
      <c r="S15" s="1"/>
      <c r="T15" s="1"/>
      <c r="U15" s="1"/>
      <c r="V15" s="1"/>
      <c r="W15" s="1"/>
      <c r="X15" s="1"/>
      <c r="Y15" s="1"/>
      <c r="Z15" s="1"/>
      <c r="AA15" s="1"/>
    </row>
    <row r="16" spans="1:27" ht="12.75" customHeight="1" thickBot="1">
      <c r="A16" s="1"/>
      <c r="B16" s="9"/>
      <c r="C16" s="10" t="s">
        <v>92</v>
      </c>
      <c r="D16" s="34">
        <f>+D15*0.16</f>
        <v>431.52</v>
      </c>
      <c r="E16" s="34">
        <f t="shared" ref="E16:Q16" si="4">+E15*0.16</f>
        <v>366.56</v>
      </c>
      <c r="F16" s="34">
        <f t="shared" si="4"/>
        <v>377</v>
      </c>
      <c r="G16" s="34">
        <f t="shared" si="4"/>
        <v>388.37959999999998</v>
      </c>
      <c r="H16" s="34">
        <f t="shared" si="4"/>
        <v>400.78336400000001</v>
      </c>
      <c r="I16" s="34">
        <f t="shared" si="4"/>
        <v>414.30346675999999</v>
      </c>
      <c r="J16" s="34">
        <f t="shared" si="4"/>
        <v>503.28037876840006</v>
      </c>
      <c r="K16" s="34">
        <f t="shared" si="4"/>
        <v>445.10361285755602</v>
      </c>
      <c r="L16" s="34">
        <f t="shared" si="4"/>
        <v>462.61253801473612</v>
      </c>
      <c r="M16" s="34">
        <f t="shared" si="4"/>
        <v>481.69726643606236</v>
      </c>
      <c r="N16" s="34">
        <f t="shared" si="4"/>
        <v>502.49962041530796</v>
      </c>
      <c r="O16" s="34">
        <f t="shared" si="4"/>
        <v>525.17418625268567</v>
      </c>
      <c r="P16" s="34">
        <f t="shared" si="4"/>
        <v>624.1294630154274</v>
      </c>
      <c r="Q16" s="34">
        <f t="shared" si="4"/>
        <v>5491.5234965201744</v>
      </c>
      <c r="R16" s="12"/>
      <c r="S16" s="1"/>
      <c r="T16" s="1"/>
      <c r="U16" s="1"/>
      <c r="V16" s="1"/>
      <c r="W16" s="1"/>
      <c r="X16" s="1"/>
      <c r="Y16" s="1"/>
      <c r="Z16" s="1"/>
      <c r="AA16" s="1"/>
    </row>
    <row r="17" spans="1:27" ht="12.75" customHeight="1" thickBot="1">
      <c r="A17" s="1"/>
      <c r="B17" s="9"/>
      <c r="C17" s="10" t="s">
        <v>37</v>
      </c>
      <c r="D17" s="34"/>
      <c r="E17" s="34">
        <f>E13+E15</f>
        <v>10191</v>
      </c>
      <c r="F17" s="34">
        <f t="shared" ref="F17:Q17" si="5">F13+F15</f>
        <v>10481.25</v>
      </c>
      <c r="G17" s="34">
        <f t="shared" si="5"/>
        <v>10797.622499999999</v>
      </c>
      <c r="H17" s="34">
        <f t="shared" si="5"/>
        <v>11142.468525</v>
      </c>
      <c r="I17" s="34">
        <f t="shared" si="5"/>
        <v>11518.350692250002</v>
      </c>
      <c r="J17" s="34">
        <f t="shared" si="5"/>
        <v>13992.062254552502</v>
      </c>
      <c r="K17" s="34">
        <f t="shared" si="5"/>
        <v>12374.647857462227</v>
      </c>
      <c r="L17" s="34">
        <f t="shared" si="5"/>
        <v>12861.426164633829</v>
      </c>
      <c r="M17" s="34">
        <f t="shared" si="5"/>
        <v>13392.014519450871</v>
      </c>
      <c r="N17" s="34">
        <f t="shared" si="5"/>
        <v>13970.35582620145</v>
      </c>
      <c r="O17" s="34">
        <f t="shared" si="5"/>
        <v>14600.747850559581</v>
      </c>
      <c r="P17" s="34">
        <f t="shared" si="5"/>
        <v>17351.875157109942</v>
      </c>
      <c r="Q17" s="34">
        <f t="shared" si="5"/>
        <v>152673.82134722039</v>
      </c>
      <c r="R17" s="12"/>
      <c r="S17" s="1"/>
      <c r="T17" s="1"/>
      <c r="U17" s="1"/>
      <c r="V17" s="1"/>
      <c r="W17" s="1"/>
      <c r="X17" s="1"/>
      <c r="Y17" s="1"/>
      <c r="Z17" s="1"/>
      <c r="AA17" s="1"/>
    </row>
    <row r="18" spans="1:27" ht="12.75" customHeight="1" thickBot="1">
      <c r="A18" s="1"/>
      <c r="B18" s="9"/>
      <c r="C18" s="10" t="s">
        <v>89</v>
      </c>
      <c r="D18" s="34"/>
      <c r="E18" s="34"/>
      <c r="F18" s="34"/>
      <c r="G18" s="34"/>
      <c r="H18" s="34">
        <f>+E14+F14+G14</f>
        <v>3903.24</v>
      </c>
      <c r="I18" s="34"/>
      <c r="J18" s="34"/>
      <c r="K18" s="34">
        <f>+H14+I14+J14</f>
        <v>4546.0938259600007</v>
      </c>
      <c r="L18" s="34"/>
      <c r="M18" s="34"/>
      <c r="N18" s="34">
        <f>+K14+L14+M14</f>
        <v>4791.080749339154</v>
      </c>
      <c r="O18" s="34"/>
      <c r="P18" s="34"/>
      <c r="Q18" s="34"/>
      <c r="R18" s="12"/>
      <c r="S18" s="1"/>
      <c r="T18" s="1"/>
      <c r="U18" s="1"/>
      <c r="V18" s="1"/>
      <c r="W18" s="1"/>
      <c r="X18" s="1"/>
      <c r="Y18" s="1"/>
      <c r="Z18" s="1"/>
      <c r="AA18" s="1"/>
    </row>
    <row r="19" spans="1:27" ht="12.75" customHeight="1" thickBot="1">
      <c r="A19" s="1"/>
      <c r="B19" s="9"/>
      <c r="C19" s="10" t="s">
        <v>90</v>
      </c>
      <c r="D19" s="34"/>
      <c r="E19" s="34">
        <f>+D15</f>
        <v>2697</v>
      </c>
      <c r="F19" s="34">
        <f t="shared" ref="F19:P19" si="6">+E15</f>
        <v>2291</v>
      </c>
      <c r="G19" s="34">
        <f t="shared" si="6"/>
        <v>2356.25</v>
      </c>
      <c r="H19" s="34">
        <f t="shared" si="6"/>
        <v>2427.3724999999999</v>
      </c>
      <c r="I19" s="34">
        <f t="shared" si="6"/>
        <v>2504.896025</v>
      </c>
      <c r="J19" s="34">
        <f t="shared" si="6"/>
        <v>2589.3966672500001</v>
      </c>
      <c r="K19" s="34">
        <f t="shared" si="6"/>
        <v>3145.5023673025003</v>
      </c>
      <c r="L19" s="34">
        <f t="shared" si="6"/>
        <v>2781.897580359725</v>
      </c>
      <c r="M19" s="34">
        <f t="shared" si="6"/>
        <v>2891.3283625921008</v>
      </c>
      <c r="N19" s="34">
        <f t="shared" si="6"/>
        <v>3010.6079152253897</v>
      </c>
      <c r="O19" s="34">
        <f t="shared" si="6"/>
        <v>3140.6226275956747</v>
      </c>
      <c r="P19" s="34">
        <f t="shared" si="6"/>
        <v>3282.3386640792855</v>
      </c>
      <c r="Q19" s="34"/>
      <c r="R19" s="12"/>
      <c r="S19" s="1"/>
      <c r="T19" s="1"/>
      <c r="U19" s="1"/>
      <c r="V19" s="1"/>
      <c r="W19" s="1"/>
      <c r="X19" s="1"/>
      <c r="Y19" s="1"/>
      <c r="Z19" s="1"/>
      <c r="AA19" s="1"/>
    </row>
    <row r="20" spans="1:27" ht="12.75" customHeight="1" thickBot="1">
      <c r="A20" s="1"/>
      <c r="B20" s="9"/>
      <c r="C20" s="10" t="s">
        <v>91</v>
      </c>
      <c r="D20" s="34"/>
      <c r="E20" s="34">
        <f>+E13-E14</f>
        <v>6636</v>
      </c>
      <c r="F20" s="34">
        <f t="shared" ref="F20:P20" si="7">+F13-F14</f>
        <v>6825</v>
      </c>
      <c r="G20" s="34">
        <f t="shared" si="7"/>
        <v>7031.01</v>
      </c>
      <c r="H20" s="34">
        <f t="shared" si="7"/>
        <v>7255.5609000000004</v>
      </c>
      <c r="I20" s="34">
        <f t="shared" si="7"/>
        <v>7500.3213810000007</v>
      </c>
      <c r="J20" s="34">
        <f t="shared" si="7"/>
        <v>9111.1103052900016</v>
      </c>
      <c r="K20" s="34">
        <f t="shared" si="7"/>
        <v>8057.9102327661003</v>
      </c>
      <c r="L20" s="34">
        <f t="shared" si="7"/>
        <v>8374.8821537150507</v>
      </c>
      <c r="M20" s="34">
        <f t="shared" si="7"/>
        <v>8720.3815475494048</v>
      </c>
      <c r="N20" s="34">
        <f t="shared" si="7"/>
        <v>9096.9758868288518</v>
      </c>
      <c r="O20" s="34">
        <f t="shared" si="7"/>
        <v>9507.4637166434477</v>
      </c>
      <c r="P20" s="34">
        <f t="shared" si="7"/>
        <v>11298.895451141358</v>
      </c>
      <c r="Q20" s="34"/>
      <c r="R20" s="12"/>
      <c r="S20" s="1"/>
      <c r="T20" s="1"/>
      <c r="U20" s="1"/>
      <c r="V20" s="1"/>
      <c r="W20" s="1"/>
      <c r="X20" s="1"/>
      <c r="Y20" s="1"/>
      <c r="Z20" s="1"/>
      <c r="AA20" s="1"/>
    </row>
    <row r="21" spans="1:27" ht="12.75" customHeight="1" thickBot="1">
      <c r="A21" s="1"/>
      <c r="B21" s="9"/>
      <c r="C21" s="10" t="s">
        <v>83</v>
      </c>
      <c r="D21" s="35"/>
      <c r="E21" s="35">
        <f t="shared" ref="E21:G21" si="8">+E18+E19+E20</f>
        <v>9333</v>
      </c>
      <c r="F21" s="35">
        <f t="shared" si="8"/>
        <v>9116</v>
      </c>
      <c r="G21" s="35">
        <f t="shared" si="8"/>
        <v>9387.26</v>
      </c>
      <c r="H21" s="35">
        <f>+H18+H19+H20</f>
        <v>13586.1734</v>
      </c>
      <c r="I21" s="35">
        <f t="shared" ref="I21:P21" si="9">+I18+I19+I20</f>
        <v>10005.217406</v>
      </c>
      <c r="J21" s="35">
        <f t="shared" si="9"/>
        <v>11700.506972540003</v>
      </c>
      <c r="K21" s="35">
        <f t="shared" si="9"/>
        <v>15749.506426028602</v>
      </c>
      <c r="L21" s="35">
        <f t="shared" si="9"/>
        <v>11156.779734074775</v>
      </c>
      <c r="M21" s="35">
        <f t="shared" si="9"/>
        <v>11611.709910141506</v>
      </c>
      <c r="N21" s="35">
        <f t="shared" si="9"/>
        <v>16898.664551393395</v>
      </c>
      <c r="O21" s="35">
        <f t="shared" si="9"/>
        <v>12648.086344239122</v>
      </c>
      <c r="P21" s="35">
        <f t="shared" si="9"/>
        <v>14581.234115220643</v>
      </c>
      <c r="Q21" s="35">
        <f>SUM(E21:P21)</f>
        <v>145774.13885963804</v>
      </c>
      <c r="R21" s="12"/>
      <c r="S21" s="1"/>
      <c r="T21" s="1"/>
      <c r="U21" s="1"/>
      <c r="V21" s="1"/>
      <c r="W21" s="1"/>
      <c r="X21" s="1"/>
      <c r="Y21" s="1"/>
      <c r="Z21" s="1"/>
      <c r="AA21" s="1"/>
    </row>
    <row r="22" spans="1:27" ht="12.75" customHeight="1">
      <c r="A22" s="1"/>
      <c r="B22" s="5"/>
      <c r="C22" s="1"/>
      <c r="D22" s="1"/>
      <c r="E22" s="3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7"/>
      <c r="S22" s="1"/>
      <c r="T22" s="1"/>
      <c r="U22" s="1"/>
      <c r="V22" s="1"/>
      <c r="W22" s="1"/>
      <c r="X22" s="1"/>
      <c r="Y22" s="1"/>
      <c r="Z22" s="1"/>
      <c r="AA22" s="1"/>
    </row>
    <row r="23" spans="1:27" ht="12.75" customHeight="1">
      <c r="A23" s="1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7"/>
      <c r="S23" s="1"/>
      <c r="T23" s="1"/>
      <c r="U23" s="1"/>
      <c r="V23" s="1"/>
      <c r="W23" s="1"/>
      <c r="X23" s="1"/>
      <c r="Y23" s="1"/>
      <c r="Z23" s="1"/>
      <c r="AA23" s="1"/>
    </row>
    <row r="24" spans="1:27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12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12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</sheetData>
  <mergeCells count="13">
    <mergeCell ref="P5:P6"/>
    <mergeCell ref="C5:C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5" right="0.75" top="1" bottom="1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tabSelected="1" topLeftCell="C4" zoomScale="120" zoomScaleNormal="120" workbookViewId="0">
      <selection activeCell="G10" sqref="G10"/>
    </sheetView>
  </sheetViews>
  <sheetFormatPr baseColWidth="10" defaultColWidth="14.42578125" defaultRowHeight="15" customHeight="1"/>
  <cols>
    <col min="1" max="2" width="11.42578125" customWidth="1"/>
    <col min="3" max="3" width="29.85546875" customWidth="1"/>
    <col min="4" max="6" width="12.7109375" customWidth="1"/>
    <col min="7" max="7" width="13.5703125" bestFit="1" customWidth="1"/>
    <col min="8" max="15" width="12.7109375" customWidth="1"/>
    <col min="16" max="16" width="12.85546875" customWidth="1"/>
    <col min="17" max="26" width="11.425781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5"/>
      <c r="C3" s="6" t="s">
        <v>23</v>
      </c>
      <c r="D3" s="6"/>
      <c r="E3" s="6"/>
      <c r="F3" s="6"/>
      <c r="G3" s="6"/>
      <c r="H3" s="6"/>
      <c r="I3" s="6"/>
      <c r="J3" s="6"/>
      <c r="K3" s="6"/>
      <c r="L3" s="6"/>
      <c r="M3" s="1"/>
      <c r="N3" s="1"/>
      <c r="O3" s="1"/>
      <c r="P3" s="1"/>
      <c r="Q3" s="7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5"/>
      <c r="C5" s="42"/>
      <c r="D5" s="40" t="s">
        <v>3</v>
      </c>
      <c r="E5" s="40" t="s">
        <v>4</v>
      </c>
      <c r="F5" s="40" t="s">
        <v>5</v>
      </c>
      <c r="G5" s="40" t="s">
        <v>6</v>
      </c>
      <c r="H5" s="40" t="s">
        <v>7</v>
      </c>
      <c r="I5" s="40" t="s">
        <v>8</v>
      </c>
      <c r="J5" s="40" t="s">
        <v>9</v>
      </c>
      <c r="K5" s="40" t="s">
        <v>10</v>
      </c>
      <c r="L5" s="40" t="s">
        <v>11</v>
      </c>
      <c r="M5" s="40" t="s">
        <v>12</v>
      </c>
      <c r="N5" s="40" t="s">
        <v>1</v>
      </c>
      <c r="O5" s="40" t="s">
        <v>2</v>
      </c>
      <c r="P5" s="8" t="s">
        <v>13</v>
      </c>
      <c r="Q5" s="7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5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8" t="s">
        <v>14</v>
      </c>
      <c r="Q6" s="7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1"/>
      <c r="B7" s="5"/>
      <c r="C7" s="10" t="s">
        <v>24</v>
      </c>
      <c r="D7" s="24">
        <v>35000</v>
      </c>
      <c r="E7" s="24">
        <v>35000</v>
      </c>
      <c r="F7" s="24">
        <v>35000</v>
      </c>
      <c r="G7" s="24">
        <v>35000</v>
      </c>
      <c r="H7" s="24">
        <v>35000</v>
      </c>
      <c r="I7" s="24">
        <v>35000</v>
      </c>
      <c r="J7" s="24">
        <v>35000</v>
      </c>
      <c r="K7" s="24">
        <v>35000</v>
      </c>
      <c r="L7" s="24">
        <v>35000</v>
      </c>
      <c r="M7" s="24">
        <v>35000</v>
      </c>
      <c r="N7" s="24">
        <v>35000</v>
      </c>
      <c r="O7" s="24">
        <v>35000</v>
      </c>
      <c r="P7" s="20">
        <f>SUM(D7:O7)</f>
        <v>420000</v>
      </c>
      <c r="Q7" s="12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>
      <c r="A8" s="1"/>
      <c r="B8" s="5"/>
      <c r="C8" s="10" t="s">
        <v>25</v>
      </c>
      <c r="D8" s="24">
        <v>4000</v>
      </c>
      <c r="E8" s="24"/>
      <c r="F8" s="24"/>
      <c r="G8" s="24">
        <v>4000</v>
      </c>
      <c r="H8" s="24"/>
      <c r="I8" s="24"/>
      <c r="J8" s="24">
        <v>4000</v>
      </c>
      <c r="K8" s="24"/>
      <c r="L8" s="24"/>
      <c r="M8" s="24">
        <v>4000</v>
      </c>
      <c r="N8" s="24"/>
      <c r="O8" s="24"/>
      <c r="P8" s="20">
        <f t="shared" ref="P8:P13" si="0">SUM(D8:O8)</f>
        <v>16000</v>
      </c>
      <c r="Q8" s="12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"/>
      <c r="B9" s="5"/>
      <c r="C9" s="10" t="s">
        <v>26</v>
      </c>
      <c r="D9" s="24"/>
      <c r="E9" s="24"/>
      <c r="F9" s="24"/>
      <c r="G9" s="24">
        <v>7000</v>
      </c>
      <c r="H9" s="24"/>
      <c r="I9" s="24"/>
      <c r="J9" s="24"/>
      <c r="K9" s="24"/>
      <c r="L9" s="24"/>
      <c r="M9" s="24"/>
      <c r="N9" s="24"/>
      <c r="O9" s="24"/>
      <c r="P9" s="20">
        <f t="shared" si="0"/>
        <v>7000</v>
      </c>
      <c r="Q9" s="12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1"/>
      <c r="B10" s="5"/>
      <c r="C10" s="10" t="s">
        <v>27</v>
      </c>
      <c r="D10" s="24">
        <v>5000</v>
      </c>
      <c r="E10" s="24">
        <v>5000</v>
      </c>
      <c r="F10" s="24">
        <v>5000</v>
      </c>
      <c r="G10" s="24">
        <v>5000</v>
      </c>
      <c r="H10" s="24">
        <v>5000</v>
      </c>
      <c r="I10" s="24">
        <v>5000</v>
      </c>
      <c r="J10" s="24">
        <v>5000</v>
      </c>
      <c r="K10" s="24">
        <v>5000</v>
      </c>
      <c r="L10" s="24">
        <v>5000</v>
      </c>
      <c r="M10" s="24">
        <v>5000</v>
      </c>
      <c r="N10" s="24">
        <v>5000</v>
      </c>
      <c r="O10" s="24">
        <v>5000</v>
      </c>
      <c r="P10" s="20">
        <f t="shared" si="0"/>
        <v>60000</v>
      </c>
      <c r="Q10" s="12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>
      <c r="A11" s="1"/>
      <c r="B11" s="5"/>
      <c r="C11" s="10" t="s">
        <v>28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>
        <f>90000/50</f>
        <v>1800</v>
      </c>
      <c r="P11" s="20">
        <f t="shared" si="0"/>
        <v>1800</v>
      </c>
      <c r="Q11" s="12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>
      <c r="A12" s="1"/>
      <c r="B12" s="5"/>
      <c r="C12" s="10" t="s">
        <v>29</v>
      </c>
      <c r="D12" s="24">
        <f>SUM(D7:D11)</f>
        <v>44000</v>
      </c>
      <c r="E12" s="24">
        <f t="shared" ref="E12:O12" si="1">SUM(E7:E11)</f>
        <v>40000</v>
      </c>
      <c r="F12" s="24">
        <f t="shared" si="1"/>
        <v>40000</v>
      </c>
      <c r="G12" s="24">
        <f t="shared" si="1"/>
        <v>51000</v>
      </c>
      <c r="H12" s="24">
        <f t="shared" si="1"/>
        <v>40000</v>
      </c>
      <c r="I12" s="24">
        <f t="shared" si="1"/>
        <v>40000</v>
      </c>
      <c r="J12" s="24">
        <f t="shared" si="1"/>
        <v>44000</v>
      </c>
      <c r="K12" s="24">
        <f t="shared" si="1"/>
        <v>40000</v>
      </c>
      <c r="L12" s="24">
        <f t="shared" si="1"/>
        <v>40000</v>
      </c>
      <c r="M12" s="24">
        <f t="shared" si="1"/>
        <v>44000</v>
      </c>
      <c r="N12" s="24">
        <f t="shared" si="1"/>
        <v>40000</v>
      </c>
      <c r="O12" s="24">
        <f t="shared" si="1"/>
        <v>41800</v>
      </c>
      <c r="P12" s="20">
        <f t="shared" si="0"/>
        <v>504800</v>
      </c>
      <c r="Q12" s="12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>
      <c r="A13" s="1"/>
      <c r="B13" s="5"/>
      <c r="C13" s="10" t="s">
        <v>30</v>
      </c>
      <c r="D13" s="21">
        <f>SUM(D7:D10)</f>
        <v>44000</v>
      </c>
      <c r="E13" s="21">
        <f t="shared" ref="E13:O13" si="2">SUM(E7:E10)</f>
        <v>40000</v>
      </c>
      <c r="F13" s="21">
        <f t="shared" si="2"/>
        <v>40000</v>
      </c>
      <c r="G13" s="21">
        <f t="shared" si="2"/>
        <v>51000</v>
      </c>
      <c r="H13" s="21">
        <f t="shared" si="2"/>
        <v>40000</v>
      </c>
      <c r="I13" s="21">
        <f t="shared" si="2"/>
        <v>40000</v>
      </c>
      <c r="J13" s="21">
        <f t="shared" si="2"/>
        <v>44000</v>
      </c>
      <c r="K13" s="21">
        <f t="shared" si="2"/>
        <v>40000</v>
      </c>
      <c r="L13" s="21">
        <f t="shared" si="2"/>
        <v>40000</v>
      </c>
      <c r="M13" s="21">
        <f t="shared" si="2"/>
        <v>44000</v>
      </c>
      <c r="N13" s="21">
        <f t="shared" si="2"/>
        <v>40000</v>
      </c>
      <c r="O13" s="21">
        <f t="shared" si="2"/>
        <v>40000</v>
      </c>
      <c r="P13" s="20">
        <f t="shared" si="0"/>
        <v>503000</v>
      </c>
      <c r="Q13" s="12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7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2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7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3">
    <mergeCell ref="O5:O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ageMargins left="0.75" right="0.75" top="1" bottom="1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topLeftCell="C4" zoomScale="120" zoomScaleNormal="120" workbookViewId="0">
      <selection activeCell="D7" sqref="D7"/>
    </sheetView>
  </sheetViews>
  <sheetFormatPr baseColWidth="10" defaultColWidth="14.42578125" defaultRowHeight="15" customHeight="1"/>
  <cols>
    <col min="1" max="1" width="11.42578125" customWidth="1"/>
    <col min="2" max="2" width="12.28515625" customWidth="1"/>
    <col min="3" max="3" width="35.42578125" customWidth="1"/>
    <col min="4" max="15" width="12.7109375" customWidth="1"/>
    <col min="16" max="26" width="11.425781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5"/>
      <c r="C3" s="6" t="s">
        <v>43</v>
      </c>
      <c r="D3" s="6"/>
      <c r="E3" s="6"/>
      <c r="F3" s="6"/>
      <c r="G3" s="6"/>
      <c r="H3" s="6"/>
      <c r="I3" s="6"/>
      <c r="J3" s="6"/>
      <c r="K3" s="6"/>
      <c r="L3" s="6"/>
      <c r="M3" s="1"/>
      <c r="N3" s="1"/>
      <c r="O3" s="1"/>
      <c r="P3" s="1"/>
      <c r="Q3" s="7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5"/>
      <c r="C5" s="42"/>
      <c r="D5" s="40" t="s">
        <v>3</v>
      </c>
      <c r="E5" s="40" t="s">
        <v>4</v>
      </c>
      <c r="F5" s="40" t="s">
        <v>5</v>
      </c>
      <c r="G5" s="40" t="s">
        <v>6</v>
      </c>
      <c r="H5" s="40" t="s">
        <v>7</v>
      </c>
      <c r="I5" s="40" t="s">
        <v>8</v>
      </c>
      <c r="J5" s="40" t="s">
        <v>9</v>
      </c>
      <c r="K5" s="40" t="s">
        <v>10</v>
      </c>
      <c r="L5" s="40" t="s">
        <v>11</v>
      </c>
      <c r="M5" s="40" t="s">
        <v>12</v>
      </c>
      <c r="N5" s="40" t="s">
        <v>1</v>
      </c>
      <c r="O5" s="40" t="s">
        <v>2</v>
      </c>
      <c r="P5" s="8" t="s">
        <v>13</v>
      </c>
      <c r="Q5" s="7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5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8" t="s">
        <v>14</v>
      </c>
      <c r="Q6" s="7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1"/>
      <c r="B7" s="30" t="s">
        <v>44</v>
      </c>
      <c r="C7" s="10" t="s">
        <v>45</v>
      </c>
      <c r="D7" s="31">
        <f>50-50*0.19</f>
        <v>40.5</v>
      </c>
      <c r="E7" s="31">
        <f t="shared" ref="E7:O7" si="0">50-50*0.19</f>
        <v>40.5</v>
      </c>
      <c r="F7" s="31">
        <f t="shared" si="0"/>
        <v>40.5</v>
      </c>
      <c r="G7" s="31">
        <f t="shared" si="0"/>
        <v>40.5</v>
      </c>
      <c r="H7" s="31">
        <f t="shared" si="0"/>
        <v>40.5</v>
      </c>
      <c r="I7" s="31">
        <f t="shared" si="0"/>
        <v>40.5</v>
      </c>
      <c r="J7" s="31">
        <f t="shared" si="0"/>
        <v>40.5</v>
      </c>
      <c r="K7" s="31">
        <f t="shared" si="0"/>
        <v>40.5</v>
      </c>
      <c r="L7" s="31">
        <f t="shared" si="0"/>
        <v>40.5</v>
      </c>
      <c r="M7" s="31">
        <f t="shared" si="0"/>
        <v>40.5</v>
      </c>
      <c r="N7" s="31">
        <f t="shared" si="0"/>
        <v>40.5</v>
      </c>
      <c r="O7" s="31">
        <f t="shared" si="0"/>
        <v>40.5</v>
      </c>
      <c r="P7" s="31"/>
      <c r="Q7" s="12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>
      <c r="A8" s="1"/>
      <c r="B8" s="30" t="s">
        <v>46</v>
      </c>
      <c r="C8" s="10" t="s">
        <v>47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12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"/>
      <c r="B9" s="30" t="s">
        <v>48</v>
      </c>
      <c r="C9" s="10" t="s">
        <v>49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12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1"/>
      <c r="B10" s="30" t="s">
        <v>50</v>
      </c>
      <c r="C10" s="10" t="s">
        <v>39</v>
      </c>
      <c r="D10" s="11">
        <f>SUM(D7:D9)</f>
        <v>40.5</v>
      </c>
      <c r="E10" s="11">
        <f t="shared" ref="E10:O10" si="1">SUM(E7:E9)</f>
        <v>40.5</v>
      </c>
      <c r="F10" s="11">
        <f t="shared" si="1"/>
        <v>40.5</v>
      </c>
      <c r="G10" s="11">
        <f t="shared" si="1"/>
        <v>40.5</v>
      </c>
      <c r="H10" s="11">
        <f t="shared" si="1"/>
        <v>40.5</v>
      </c>
      <c r="I10" s="11">
        <f t="shared" si="1"/>
        <v>40.5</v>
      </c>
      <c r="J10" s="11">
        <f t="shared" si="1"/>
        <v>40.5</v>
      </c>
      <c r="K10" s="11">
        <f t="shared" si="1"/>
        <v>40.5</v>
      </c>
      <c r="L10" s="11">
        <f t="shared" si="1"/>
        <v>40.5</v>
      </c>
      <c r="M10" s="11">
        <f t="shared" si="1"/>
        <v>40.5</v>
      </c>
      <c r="N10" s="11">
        <f t="shared" si="1"/>
        <v>40.5</v>
      </c>
      <c r="O10" s="11">
        <f t="shared" si="1"/>
        <v>40.5</v>
      </c>
      <c r="P10" s="11"/>
      <c r="Q10" s="12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>
      <c r="A11" s="1"/>
      <c r="B11" s="30" t="s">
        <v>51</v>
      </c>
      <c r="C11" s="10" t="s">
        <v>52</v>
      </c>
      <c r="D11" s="31">
        <v>100</v>
      </c>
      <c r="E11" s="31">
        <v>100</v>
      </c>
      <c r="F11" s="31">
        <v>100</v>
      </c>
      <c r="G11" s="31">
        <v>100</v>
      </c>
      <c r="H11" s="31">
        <v>100</v>
      </c>
      <c r="I11" s="31">
        <v>100</v>
      </c>
      <c r="J11" s="31">
        <v>100</v>
      </c>
      <c r="K11" s="31">
        <v>100</v>
      </c>
      <c r="L11" s="31">
        <v>100</v>
      </c>
      <c r="M11" s="31">
        <v>100</v>
      </c>
      <c r="N11" s="31">
        <v>100</v>
      </c>
      <c r="O11" s="31">
        <v>3100</v>
      </c>
      <c r="P11" s="31"/>
      <c r="Q11" s="12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>
      <c r="A12" s="1"/>
      <c r="B12" s="30" t="s">
        <v>53</v>
      </c>
      <c r="C12" s="10" t="s">
        <v>54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12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>
      <c r="A13" s="1"/>
      <c r="B13" s="30" t="s">
        <v>55</v>
      </c>
      <c r="C13" s="10" t="s">
        <v>56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12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>
      <c r="A14" s="1"/>
      <c r="B14" s="30" t="s">
        <v>57</v>
      </c>
      <c r="C14" s="10" t="s">
        <v>40</v>
      </c>
      <c r="D14" s="11">
        <f>SUM(D11:D13)</f>
        <v>100</v>
      </c>
      <c r="E14" s="11">
        <f t="shared" ref="E14:O14" si="2">SUM(E11:E13)</f>
        <v>100</v>
      </c>
      <c r="F14" s="11">
        <f t="shared" si="2"/>
        <v>100</v>
      </c>
      <c r="G14" s="11">
        <f t="shared" si="2"/>
        <v>100</v>
      </c>
      <c r="H14" s="11">
        <f t="shared" si="2"/>
        <v>100</v>
      </c>
      <c r="I14" s="11">
        <f t="shared" si="2"/>
        <v>100</v>
      </c>
      <c r="J14" s="11">
        <f t="shared" si="2"/>
        <v>100</v>
      </c>
      <c r="K14" s="11">
        <f t="shared" si="2"/>
        <v>100</v>
      </c>
      <c r="L14" s="11">
        <f t="shared" si="2"/>
        <v>100</v>
      </c>
      <c r="M14" s="11">
        <f t="shared" si="2"/>
        <v>100</v>
      </c>
      <c r="N14" s="11">
        <f t="shared" si="2"/>
        <v>100</v>
      </c>
      <c r="O14" s="11">
        <f t="shared" si="2"/>
        <v>3100</v>
      </c>
      <c r="P14" s="11"/>
      <c r="Q14" s="12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>
      <c r="A15" s="1"/>
      <c r="B15" s="30" t="s">
        <v>58</v>
      </c>
      <c r="C15" s="10" t="s">
        <v>59</v>
      </c>
      <c r="D15" s="11">
        <f>D10-D14</f>
        <v>-59.5</v>
      </c>
      <c r="E15" s="11">
        <f t="shared" ref="E15:I15" si="3">E10-E14</f>
        <v>-59.5</v>
      </c>
      <c r="F15" s="11">
        <f t="shared" si="3"/>
        <v>-59.5</v>
      </c>
      <c r="G15" s="11">
        <f t="shared" si="3"/>
        <v>-59.5</v>
      </c>
      <c r="H15" s="11">
        <f t="shared" si="3"/>
        <v>-59.5</v>
      </c>
      <c r="I15" s="11">
        <f t="shared" si="3"/>
        <v>-59.5</v>
      </c>
      <c r="J15" s="11">
        <f>J10-J14</f>
        <v>-59.5</v>
      </c>
      <c r="K15" s="11">
        <f t="shared" ref="K15" si="4">K10-K14</f>
        <v>-59.5</v>
      </c>
      <c r="L15" s="11">
        <f t="shared" ref="L15" si="5">L10-L14</f>
        <v>-59.5</v>
      </c>
      <c r="M15" s="11">
        <f t="shared" ref="M15" si="6">M10-M14</f>
        <v>-59.5</v>
      </c>
      <c r="N15" s="11">
        <f t="shared" ref="N15" si="7">N10-N14</f>
        <v>-59.5</v>
      </c>
      <c r="O15" s="11">
        <f t="shared" ref="O15" si="8">O10-O14</f>
        <v>-3059.5</v>
      </c>
      <c r="P15" s="11"/>
      <c r="Q15" s="12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7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3">
    <mergeCell ref="O5:O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ageMargins left="0.75" right="0.75" top="1" bottom="1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topLeftCell="B1" zoomScaleNormal="100" workbookViewId="0">
      <pane ySplit="1" topLeftCell="A2" activePane="bottomLeft" state="frozen"/>
      <selection pane="bottomLeft" activeCell="H21" sqref="H21"/>
    </sheetView>
  </sheetViews>
  <sheetFormatPr baseColWidth="10" defaultColWidth="14.42578125" defaultRowHeight="15" customHeight="1"/>
  <cols>
    <col min="1" max="2" width="11.42578125" customWidth="1"/>
    <col min="3" max="3" width="46.5703125" bestFit="1" customWidth="1"/>
    <col min="4" max="4" width="15.85546875" bestFit="1" customWidth="1"/>
    <col min="5" max="6" width="14.5703125" customWidth="1"/>
    <col min="7" max="8" width="15.85546875" bestFit="1" customWidth="1"/>
    <col min="9" max="9" width="14.5703125" bestFit="1" customWidth="1"/>
    <col min="10" max="13" width="15.7109375" bestFit="1" customWidth="1"/>
    <col min="14" max="16" width="17.7109375" bestFit="1" customWidth="1"/>
    <col min="17" max="26" width="11.42578125" customWidth="1"/>
  </cols>
  <sheetData>
    <row r="1" spans="1:26" ht="13.5" customHeight="1">
      <c r="A1" s="1"/>
      <c r="B1" s="5"/>
      <c r="C1" s="42"/>
      <c r="D1" s="40" t="s">
        <v>3</v>
      </c>
      <c r="E1" s="40" t="s">
        <v>4</v>
      </c>
      <c r="F1" s="40" t="s">
        <v>5</v>
      </c>
      <c r="G1" s="40" t="s">
        <v>6</v>
      </c>
      <c r="H1" s="40" t="s">
        <v>7</v>
      </c>
      <c r="I1" s="40" t="s">
        <v>8</v>
      </c>
      <c r="J1" s="40" t="s">
        <v>9</v>
      </c>
      <c r="K1" s="40" t="s">
        <v>10</v>
      </c>
      <c r="L1" s="40" t="s">
        <v>11</v>
      </c>
      <c r="M1" s="40" t="s">
        <v>12</v>
      </c>
      <c r="N1" s="40" t="s">
        <v>1</v>
      </c>
      <c r="O1" s="40" t="s">
        <v>2</v>
      </c>
      <c r="P1" s="8" t="s">
        <v>13</v>
      </c>
      <c r="Q1" s="7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5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8" t="s">
        <v>14</v>
      </c>
      <c r="Q2" s="7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>
      <c r="A3" s="1"/>
      <c r="B3" s="5"/>
      <c r="C3" s="28" t="s">
        <v>60</v>
      </c>
      <c r="D3" s="24">
        <v>15000</v>
      </c>
      <c r="E3" s="24">
        <f>D22</f>
        <v>0</v>
      </c>
      <c r="F3" s="24">
        <f t="shared" ref="F3:O3" si="0">E22</f>
        <v>0</v>
      </c>
      <c r="G3" s="24">
        <f t="shared" si="0"/>
        <v>-9.0949470177292824E-12</v>
      </c>
      <c r="H3" s="24">
        <f t="shared" si="0"/>
        <v>27566.63660000002</v>
      </c>
      <c r="I3" s="24">
        <f t="shared" si="0"/>
        <v>54339.494193999963</v>
      </c>
      <c r="J3" s="24">
        <f t="shared" si="0"/>
        <v>97833.443971459987</v>
      </c>
      <c r="K3" s="24">
        <f t="shared" si="0"/>
        <v>154252.25040293142</v>
      </c>
      <c r="L3" s="24">
        <f t="shared" si="0"/>
        <v>243025.28668353171</v>
      </c>
      <c r="M3" s="24">
        <f t="shared" si="0"/>
        <v>358143.43122938607</v>
      </c>
      <c r="N3" s="24">
        <f t="shared" si="0"/>
        <v>494086.66303502815</v>
      </c>
      <c r="O3" s="24">
        <f t="shared" si="0"/>
        <v>672002.59871995775</v>
      </c>
      <c r="P3" s="24">
        <v>9000</v>
      </c>
      <c r="Q3" s="12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>
      <c r="A4" s="1"/>
      <c r="B4" s="5"/>
      <c r="C4" s="10" t="s">
        <v>61</v>
      </c>
      <c r="D4" s="27">
        <f>SUM(D5:D6)</f>
        <v>227000</v>
      </c>
      <c r="E4" s="27">
        <f t="shared" ref="E4:P4" si="1">SUM(E5:E6)</f>
        <v>244000</v>
      </c>
      <c r="F4" s="27">
        <f t="shared" si="1"/>
        <v>265750</v>
      </c>
      <c r="G4" s="27">
        <f t="shared" si="1"/>
        <v>289667.5</v>
      </c>
      <c r="H4" s="27">
        <f t="shared" si="1"/>
        <v>315737.57499999995</v>
      </c>
      <c r="I4" s="27">
        <f t="shared" si="1"/>
        <v>344153.95675000001</v>
      </c>
      <c r="J4" s="27">
        <f t="shared" si="1"/>
        <v>375127.81285750004</v>
      </c>
      <c r="K4" s="27">
        <f t="shared" si="1"/>
        <v>408889.31601467507</v>
      </c>
      <c r="L4" s="27">
        <f t="shared" si="1"/>
        <v>445689.35445599584</v>
      </c>
      <c r="M4" s="27">
        <f t="shared" si="1"/>
        <v>485801.3963570355</v>
      </c>
      <c r="N4" s="27">
        <f t="shared" si="1"/>
        <v>529523.52202916879</v>
      </c>
      <c r="O4" s="27">
        <f t="shared" si="1"/>
        <v>577180.63901179389</v>
      </c>
      <c r="P4" s="27">
        <f t="shared" si="1"/>
        <v>4508521.0724761691</v>
      </c>
      <c r="Q4" s="12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>
      <c r="A5" s="1"/>
      <c r="B5" s="5"/>
      <c r="C5" s="10" t="s">
        <v>62</v>
      </c>
      <c r="D5" s="24">
        <f>'VENTAS '!F8</f>
        <v>227000</v>
      </c>
      <c r="E5" s="24">
        <f>'VENTAS '!G8</f>
        <v>244000</v>
      </c>
      <c r="F5" s="24">
        <f>'VENTAS '!H8</f>
        <v>265750</v>
      </c>
      <c r="G5" s="24">
        <f>'VENTAS '!I8</f>
        <v>289667.5</v>
      </c>
      <c r="H5" s="24">
        <f>'VENTAS '!J8</f>
        <v>315737.57499999995</v>
      </c>
      <c r="I5" s="24">
        <f>'VENTAS '!K8</f>
        <v>344153.95675000001</v>
      </c>
      <c r="J5" s="24">
        <f>'VENTAS '!L8</f>
        <v>375127.81285750004</v>
      </c>
      <c r="K5" s="24">
        <f>'VENTAS '!M8</f>
        <v>408889.31601467507</v>
      </c>
      <c r="L5" s="24">
        <f>'VENTAS '!N8</f>
        <v>445689.35445599584</v>
      </c>
      <c r="M5" s="24">
        <f>'VENTAS '!O8</f>
        <v>485801.3963570355</v>
      </c>
      <c r="N5" s="24">
        <f>'VENTAS '!P8</f>
        <v>529523.52202916879</v>
      </c>
      <c r="O5" s="24">
        <f>'VENTAS '!Q8</f>
        <v>577180.63901179389</v>
      </c>
      <c r="P5" s="24">
        <f>'VENTAS '!R8</f>
        <v>4508521.0724761691</v>
      </c>
      <c r="Q5" s="12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>
      <c r="A6" s="1"/>
      <c r="B6" s="5"/>
      <c r="C6" s="10" t="s">
        <v>63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0"/>
      <c r="Q6" s="12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1"/>
      <c r="B7" s="5"/>
      <c r="C7" s="10" t="s">
        <v>64</v>
      </c>
      <c r="D7" s="27">
        <f>SUM(D8:D10)</f>
        <v>249333</v>
      </c>
      <c r="E7" s="27">
        <f t="shared" ref="E7:P7" si="2">SUM(E8:E10)</f>
        <v>257116</v>
      </c>
      <c r="F7" s="27">
        <f t="shared" si="2"/>
        <v>267387.26</v>
      </c>
      <c r="G7" s="27">
        <f t="shared" si="2"/>
        <v>292586.17339999997</v>
      </c>
      <c r="H7" s="27">
        <f t="shared" si="2"/>
        <v>288005.21740600001</v>
      </c>
      <c r="I7" s="27">
        <f t="shared" si="2"/>
        <v>299700.50697254</v>
      </c>
      <c r="J7" s="27">
        <f t="shared" si="2"/>
        <v>317749.50642602862</v>
      </c>
      <c r="K7" s="27">
        <f t="shared" si="2"/>
        <v>319156.77973407478</v>
      </c>
      <c r="L7" s="27">
        <f t="shared" si="2"/>
        <v>329611.70991014148</v>
      </c>
      <c r="M7" s="27">
        <f t="shared" si="2"/>
        <v>348898.66455139342</v>
      </c>
      <c r="N7" s="27">
        <f t="shared" si="2"/>
        <v>350648.08634423913</v>
      </c>
      <c r="O7" s="27">
        <f t="shared" si="2"/>
        <v>362581.23411522066</v>
      </c>
      <c r="P7" s="27">
        <f t="shared" si="2"/>
        <v>3682774.138859638</v>
      </c>
      <c r="Q7" s="12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>
      <c r="A8" s="1"/>
      <c r="B8" s="5"/>
      <c r="C8" s="10" t="s">
        <v>65</v>
      </c>
      <c r="D8" s="24">
        <f>'COMPRAS '!E8</f>
        <v>196000</v>
      </c>
      <c r="E8" s="24">
        <f>'COMPRAS '!F8</f>
        <v>208000</v>
      </c>
      <c r="F8" s="24">
        <f>'COMPRAS '!G8</f>
        <v>218000</v>
      </c>
      <c r="G8" s="24">
        <f>'COMPRAS '!H8</f>
        <v>228000</v>
      </c>
      <c r="H8" s="24">
        <f>'COMPRAS '!I8</f>
        <v>238000</v>
      </c>
      <c r="I8" s="24">
        <f>'COMPRAS '!J8</f>
        <v>248000</v>
      </c>
      <c r="J8" s="24">
        <f>'COMPRAS '!K8</f>
        <v>258000</v>
      </c>
      <c r="K8" s="24">
        <f>'COMPRAS '!L8</f>
        <v>268000</v>
      </c>
      <c r="L8" s="24">
        <f>'COMPRAS '!M8</f>
        <v>278000</v>
      </c>
      <c r="M8" s="24">
        <f>'COMPRAS '!N8</f>
        <v>288000</v>
      </c>
      <c r="N8" s="24">
        <f>'COMPRAS '!O8</f>
        <v>298000</v>
      </c>
      <c r="O8" s="24">
        <f>'COMPRAS '!P8</f>
        <v>308000</v>
      </c>
      <c r="P8" s="24">
        <f>'COMPRAS '!Q8</f>
        <v>3034000</v>
      </c>
      <c r="Q8" s="12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"/>
      <c r="B9" s="5"/>
      <c r="C9" s="10" t="s">
        <v>66</v>
      </c>
      <c r="D9" s="24">
        <f>'PERSONAL '!E21</f>
        <v>9333</v>
      </c>
      <c r="E9" s="24">
        <f>'PERSONAL '!F21</f>
        <v>9116</v>
      </c>
      <c r="F9" s="24">
        <f>'PERSONAL '!G21</f>
        <v>9387.26</v>
      </c>
      <c r="G9" s="24">
        <f>'PERSONAL '!H21</f>
        <v>13586.1734</v>
      </c>
      <c r="H9" s="24">
        <f>'PERSONAL '!I21</f>
        <v>10005.217406</v>
      </c>
      <c r="I9" s="24">
        <f>'PERSONAL '!J21</f>
        <v>11700.506972540003</v>
      </c>
      <c r="J9" s="24">
        <f>'PERSONAL '!K21</f>
        <v>15749.506426028602</v>
      </c>
      <c r="K9" s="24">
        <f>'PERSONAL '!L21</f>
        <v>11156.779734074775</v>
      </c>
      <c r="L9" s="24">
        <f>'PERSONAL '!M21</f>
        <v>11611.709910141506</v>
      </c>
      <c r="M9" s="24">
        <f>'PERSONAL '!N21</f>
        <v>16898.664551393395</v>
      </c>
      <c r="N9" s="24">
        <f>'PERSONAL '!O21</f>
        <v>12648.086344239122</v>
      </c>
      <c r="O9" s="24">
        <f>'PERSONAL '!P21</f>
        <v>14581.234115220643</v>
      </c>
      <c r="P9" s="24">
        <f>'PERSONAL '!Q21</f>
        <v>145774.13885963804</v>
      </c>
      <c r="Q9" s="12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1"/>
      <c r="B10" s="5"/>
      <c r="C10" s="10" t="s">
        <v>67</v>
      </c>
      <c r="D10" s="24">
        <f>'GASTOS GENERALES '!D13</f>
        <v>44000</v>
      </c>
      <c r="E10" s="24">
        <f>'GASTOS GENERALES '!E13</f>
        <v>40000</v>
      </c>
      <c r="F10" s="24">
        <f>'GASTOS GENERALES '!F13</f>
        <v>40000</v>
      </c>
      <c r="G10" s="24">
        <f>'GASTOS GENERALES '!G13</f>
        <v>51000</v>
      </c>
      <c r="H10" s="24">
        <f>'GASTOS GENERALES '!H13</f>
        <v>40000</v>
      </c>
      <c r="I10" s="24">
        <f>'GASTOS GENERALES '!I13</f>
        <v>40000</v>
      </c>
      <c r="J10" s="24">
        <f>'GASTOS GENERALES '!J13</f>
        <v>44000</v>
      </c>
      <c r="K10" s="24">
        <f>'GASTOS GENERALES '!K13</f>
        <v>40000</v>
      </c>
      <c r="L10" s="24">
        <f>'GASTOS GENERALES '!L13</f>
        <v>40000</v>
      </c>
      <c r="M10" s="24">
        <f>'GASTOS GENERALES '!M13</f>
        <v>44000</v>
      </c>
      <c r="N10" s="24">
        <f>'GASTOS GENERALES '!N13</f>
        <v>40000</v>
      </c>
      <c r="O10" s="24">
        <f>'GASTOS GENERALES '!O13</f>
        <v>40000</v>
      </c>
      <c r="P10" s="24">
        <f>'GASTOS GENERALES '!P13</f>
        <v>503000</v>
      </c>
      <c r="Q10" s="12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>
      <c r="A11" s="1"/>
      <c r="B11" s="5"/>
      <c r="C11" s="28" t="s">
        <v>68</v>
      </c>
      <c r="D11" s="29">
        <f>D4-D7</f>
        <v>-22333</v>
      </c>
      <c r="E11" s="29">
        <f t="shared" ref="E11:P11" si="3">E4-E7</f>
        <v>-13116</v>
      </c>
      <c r="F11" s="29">
        <f t="shared" si="3"/>
        <v>-1637.2600000000093</v>
      </c>
      <c r="G11" s="29">
        <f t="shared" si="3"/>
        <v>-2918.6733999999706</v>
      </c>
      <c r="H11" s="29">
        <f t="shared" si="3"/>
        <v>27732.357593999943</v>
      </c>
      <c r="I11" s="29">
        <f t="shared" si="3"/>
        <v>44453.449777460017</v>
      </c>
      <c r="J11" s="29">
        <f t="shared" si="3"/>
        <v>57378.306431471428</v>
      </c>
      <c r="K11" s="29">
        <f t="shared" si="3"/>
        <v>89732.536280600296</v>
      </c>
      <c r="L11" s="29">
        <f t="shared" si="3"/>
        <v>116077.64454585436</v>
      </c>
      <c r="M11" s="29">
        <f t="shared" si="3"/>
        <v>136902.73180564208</v>
      </c>
      <c r="N11" s="29">
        <f t="shared" si="3"/>
        <v>178875.43568492966</v>
      </c>
      <c r="O11" s="29">
        <f t="shared" si="3"/>
        <v>214599.40489657322</v>
      </c>
      <c r="P11" s="29">
        <f t="shared" si="3"/>
        <v>825746.93361653108</v>
      </c>
      <c r="Q11" s="12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>
      <c r="A12" s="1"/>
      <c r="B12" s="5"/>
      <c r="C12" s="10" t="s">
        <v>69</v>
      </c>
      <c r="D12" s="24">
        <v>50000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0">
        <f t="shared" ref="P12" si="4">SUM(D12:O12)</f>
        <v>50000</v>
      </c>
      <c r="Q12" s="12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>
      <c r="A13" s="1"/>
      <c r="B13" s="5"/>
      <c r="C13" s="10" t="s">
        <v>70</v>
      </c>
      <c r="D13" s="24">
        <v>48292.5</v>
      </c>
      <c r="E13" s="24">
        <v>14075.5</v>
      </c>
      <c r="F13" s="24">
        <v>2596.7600000000002</v>
      </c>
      <c r="G13" s="24">
        <v>31444.81</v>
      </c>
      <c r="H13" s="24"/>
      <c r="I13" s="24"/>
      <c r="J13" s="24"/>
      <c r="K13" s="24"/>
      <c r="L13" s="24"/>
      <c r="M13" s="24"/>
      <c r="N13" s="24"/>
      <c r="O13" s="24"/>
      <c r="P13" s="20">
        <f>SUM(D13:O13)</f>
        <v>96409.57</v>
      </c>
      <c r="Q13" s="12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>
      <c r="A14" s="1"/>
      <c r="B14" s="5"/>
      <c r="C14" s="10" t="s">
        <v>71</v>
      </c>
      <c r="D14" s="24">
        <v>900</v>
      </c>
      <c r="E14" s="24">
        <v>900</v>
      </c>
      <c r="F14" s="24">
        <v>900</v>
      </c>
      <c r="G14" s="24">
        <v>900</v>
      </c>
      <c r="H14" s="24">
        <v>900</v>
      </c>
      <c r="I14" s="24">
        <v>900</v>
      </c>
      <c r="J14" s="24">
        <v>900</v>
      </c>
      <c r="K14" s="24">
        <v>900</v>
      </c>
      <c r="L14" s="24">
        <v>900</v>
      </c>
      <c r="M14" s="24">
        <v>900</v>
      </c>
      <c r="N14" s="24">
        <v>900</v>
      </c>
      <c r="O14" s="24">
        <v>900</v>
      </c>
      <c r="P14" s="20">
        <f>SUM(D14:O14)</f>
        <v>10800</v>
      </c>
      <c r="Q14" s="12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>
      <c r="A15" s="1"/>
      <c r="B15" s="5"/>
      <c r="C15" s="10" t="s">
        <v>72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>
        <f>SUM(D13:O13)</f>
        <v>96409.57</v>
      </c>
      <c r="P15" s="20">
        <f t="shared" ref="P15:P16" si="5">SUM(D15:O15)</f>
        <v>96409.57</v>
      </c>
      <c r="Q15" s="12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>
      <c r="A16" s="1"/>
      <c r="B16" s="5"/>
      <c r="C16" s="10" t="s">
        <v>86</v>
      </c>
      <c r="D16" s="24">
        <f>'FINANCIERO '!D15</f>
        <v>-59.5</v>
      </c>
      <c r="E16" s="24">
        <f>'FINANCIERO '!E15</f>
        <v>-59.5</v>
      </c>
      <c r="F16" s="24">
        <f>'FINANCIERO '!F15</f>
        <v>-59.5</v>
      </c>
      <c r="G16" s="24">
        <f>'FINANCIERO '!G15</f>
        <v>-59.5</v>
      </c>
      <c r="H16" s="24">
        <f>'FINANCIERO '!H15</f>
        <v>-59.5</v>
      </c>
      <c r="I16" s="24">
        <f>'FINANCIERO '!I15</f>
        <v>-59.5</v>
      </c>
      <c r="J16" s="24">
        <f>'FINANCIERO '!J15</f>
        <v>-59.5</v>
      </c>
      <c r="K16" s="24">
        <f>'FINANCIERO '!K15</f>
        <v>-59.5</v>
      </c>
      <c r="L16" s="24">
        <f>'FINANCIERO '!L15</f>
        <v>-59.5</v>
      </c>
      <c r="M16" s="24">
        <f>'FINANCIERO '!M15</f>
        <v>-59.5</v>
      </c>
      <c r="N16" s="24">
        <f>'FINANCIERO '!N15</f>
        <v>-59.5</v>
      </c>
      <c r="O16" s="24">
        <f>'FINANCIERO '!O15</f>
        <v>-3059.5</v>
      </c>
      <c r="P16" s="20">
        <f t="shared" si="5"/>
        <v>-3714</v>
      </c>
      <c r="Q16" s="12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>
      <c r="A17" s="1"/>
      <c r="B17" s="5"/>
      <c r="C17" s="28" t="s">
        <v>73</v>
      </c>
      <c r="D17" s="29">
        <f>D12+D13+D16-D14-D15</f>
        <v>97333</v>
      </c>
      <c r="E17" s="29">
        <f t="shared" ref="E17:P17" si="6">E12+E13-E14-E15+E16</f>
        <v>13116</v>
      </c>
      <c r="F17" s="29">
        <f t="shared" si="6"/>
        <v>1637.2600000000002</v>
      </c>
      <c r="G17" s="29">
        <f t="shared" si="6"/>
        <v>30485.31</v>
      </c>
      <c r="H17" s="29">
        <f t="shared" si="6"/>
        <v>-959.5</v>
      </c>
      <c r="I17" s="29">
        <f t="shared" si="6"/>
        <v>-959.5</v>
      </c>
      <c r="J17" s="29">
        <f t="shared" si="6"/>
        <v>-959.5</v>
      </c>
      <c r="K17" s="29">
        <f t="shared" si="6"/>
        <v>-959.5</v>
      </c>
      <c r="L17" s="29">
        <f t="shared" si="6"/>
        <v>-959.5</v>
      </c>
      <c r="M17" s="29">
        <f t="shared" si="6"/>
        <v>-959.5</v>
      </c>
      <c r="N17" s="29">
        <f t="shared" si="6"/>
        <v>-959.5</v>
      </c>
      <c r="O17" s="29">
        <f t="shared" si="6"/>
        <v>-100369.07</v>
      </c>
      <c r="P17" s="29">
        <f t="shared" si="6"/>
        <v>35486</v>
      </c>
      <c r="Q17" s="12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>
      <c r="A18" s="1"/>
      <c r="B18" s="5"/>
      <c r="C18" s="10" t="s">
        <v>74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0">
        <f>SUM(D18:O18)</f>
        <v>0</v>
      </c>
      <c r="Q18" s="12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>
      <c r="A19" s="1"/>
      <c r="B19" s="5"/>
      <c r="C19" s="10" t="s">
        <v>75</v>
      </c>
      <c r="D19" s="24">
        <v>90000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0">
        <f>SUM(D19:O19)</f>
        <v>90000</v>
      </c>
      <c r="Q19" s="12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>
      <c r="A20" s="1"/>
      <c r="B20" s="5"/>
      <c r="C20" s="28" t="s">
        <v>76</v>
      </c>
      <c r="D20" s="29">
        <f>D18-D19</f>
        <v>-90000</v>
      </c>
      <c r="E20" s="29">
        <f t="shared" ref="E20:P20" si="7">E18-E19</f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7"/>
        <v>0</v>
      </c>
      <c r="O20" s="29">
        <f t="shared" si="7"/>
        <v>0</v>
      </c>
      <c r="P20" s="29">
        <f t="shared" si="7"/>
        <v>-90000</v>
      </c>
      <c r="Q20" s="12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>
      <c r="A21" s="1"/>
      <c r="B21" s="5"/>
      <c r="C21" s="28" t="s">
        <v>77</v>
      </c>
      <c r="D21" s="29">
        <f>D11+D17+D20</f>
        <v>-15000</v>
      </c>
      <c r="E21" s="29">
        <f t="shared" ref="E21:P21" si="8">E11+E17+E20</f>
        <v>0</v>
      </c>
      <c r="F21" s="29">
        <f t="shared" si="8"/>
        <v>-9.0949470177292824E-12</v>
      </c>
      <c r="G21" s="29">
        <f t="shared" si="8"/>
        <v>27566.636600000031</v>
      </c>
      <c r="H21" s="29">
        <f t="shared" si="8"/>
        <v>26772.857593999943</v>
      </c>
      <c r="I21" s="29">
        <f t="shared" si="8"/>
        <v>43493.949777460017</v>
      </c>
      <c r="J21" s="29">
        <f t="shared" si="8"/>
        <v>56418.806431471428</v>
      </c>
      <c r="K21" s="29">
        <f t="shared" si="8"/>
        <v>88773.036280600296</v>
      </c>
      <c r="L21" s="29">
        <f t="shared" si="8"/>
        <v>115118.14454585436</v>
      </c>
      <c r="M21" s="29">
        <f t="shared" si="8"/>
        <v>135943.23180564208</v>
      </c>
      <c r="N21" s="29">
        <f t="shared" si="8"/>
        <v>177915.93568492966</v>
      </c>
      <c r="O21" s="29">
        <f t="shared" si="8"/>
        <v>114230.33489657321</v>
      </c>
      <c r="P21" s="29">
        <f t="shared" si="8"/>
        <v>771232.93361653108</v>
      </c>
      <c r="Q21" s="12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>
      <c r="A22" s="1"/>
      <c r="B22" s="5"/>
      <c r="C22" s="28" t="s">
        <v>78</v>
      </c>
      <c r="D22" s="29">
        <f>D3+D21</f>
        <v>0</v>
      </c>
      <c r="E22" s="29">
        <f>E3+E21</f>
        <v>0</v>
      </c>
      <c r="F22" s="29">
        <f>F3+F21</f>
        <v>-9.0949470177292824E-12</v>
      </c>
      <c r="G22" s="29">
        <f>G3+G21</f>
        <v>27566.63660000002</v>
      </c>
      <c r="H22" s="29">
        <f>H3+H21</f>
        <v>54339.494193999963</v>
      </c>
      <c r="I22" s="29">
        <f>I3+I21</f>
        <v>97833.443971459987</v>
      </c>
      <c r="J22" s="29">
        <f>J3+J21</f>
        <v>154252.25040293142</v>
      </c>
      <c r="K22" s="29">
        <f>K3+K21</f>
        <v>243025.28668353171</v>
      </c>
      <c r="L22" s="29">
        <f>L3+L21</f>
        <v>358143.43122938607</v>
      </c>
      <c r="M22" s="29">
        <f>M3+M21</f>
        <v>494086.66303502815</v>
      </c>
      <c r="N22" s="29">
        <f>N3+N21</f>
        <v>672002.59871995775</v>
      </c>
      <c r="O22" s="29">
        <f>O3+O21</f>
        <v>786232.93361653097</v>
      </c>
      <c r="P22" s="29">
        <f>P3+P21</f>
        <v>780232.93361653108</v>
      </c>
      <c r="Q22" s="12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7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4"/>
      <c r="C24" s="15"/>
      <c r="D24" s="3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7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>
        <v>50000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38">
        <f>+H33+G22</f>
        <v>77566.636600000027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3">
    <mergeCell ref="O1:O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</mergeCells>
  <conditionalFormatting sqref="E15:P15 D16:P22 D3:P3 D5:P14">
    <cfRule type="cellIs" dxfId="2" priority="1" operator="lessThan">
      <formula>0</formula>
    </cfRule>
  </conditionalFormatting>
  <pageMargins left="0.75" right="0.75" top="1" bottom="1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00"/>
  <sheetViews>
    <sheetView topLeftCell="C1" zoomScaleNormal="100" workbookViewId="0">
      <selection activeCell="D25" sqref="D25"/>
    </sheetView>
  </sheetViews>
  <sheetFormatPr baseColWidth="10" defaultColWidth="14.42578125" defaultRowHeight="15" customHeight="1"/>
  <cols>
    <col min="1" max="2" width="11.42578125" customWidth="1"/>
    <col min="3" max="3" width="42" customWidth="1"/>
    <col min="4" max="4" width="13.5703125" bestFit="1" customWidth="1"/>
    <col min="5" max="9" width="14.42578125" bestFit="1" customWidth="1"/>
    <col min="10" max="15" width="15.7109375" bestFit="1" customWidth="1"/>
    <col min="16" max="16" width="17.7109375" bestFit="1" customWidth="1"/>
    <col min="17" max="26" width="11.425781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5"/>
      <c r="C3" s="6" t="s">
        <v>31</v>
      </c>
      <c r="D3" s="6"/>
      <c r="E3" s="6"/>
      <c r="F3" s="6"/>
      <c r="G3" s="6"/>
      <c r="H3" s="6"/>
      <c r="I3" s="6"/>
      <c r="J3" s="6"/>
      <c r="K3" s="6"/>
      <c r="L3" s="6"/>
      <c r="M3" s="1"/>
      <c r="N3" s="1"/>
      <c r="O3" s="1"/>
      <c r="P3" s="1"/>
      <c r="Q3" s="7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5"/>
      <c r="C5" s="42"/>
      <c r="D5" s="40" t="s">
        <v>3</v>
      </c>
      <c r="E5" s="40" t="s">
        <v>4</v>
      </c>
      <c r="F5" s="40" t="s">
        <v>5</v>
      </c>
      <c r="G5" s="40" t="s">
        <v>6</v>
      </c>
      <c r="H5" s="40" t="s">
        <v>7</v>
      </c>
      <c r="I5" s="40" t="s">
        <v>8</v>
      </c>
      <c r="J5" s="40" t="s">
        <v>9</v>
      </c>
      <c r="K5" s="40" t="s">
        <v>10</v>
      </c>
      <c r="L5" s="40" t="s">
        <v>11</v>
      </c>
      <c r="M5" s="40" t="s">
        <v>12</v>
      </c>
      <c r="N5" s="40" t="s">
        <v>1</v>
      </c>
      <c r="O5" s="40" t="s">
        <v>2</v>
      </c>
      <c r="P5" s="8" t="s">
        <v>13</v>
      </c>
      <c r="Q5" s="7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5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8" t="s">
        <v>14</v>
      </c>
      <c r="Q6" s="7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1"/>
      <c r="B7" s="5"/>
      <c r="C7" s="10" t="s">
        <v>32</v>
      </c>
      <c r="D7" s="26">
        <f>SUM(D8:D9)</f>
        <v>250000</v>
      </c>
      <c r="E7" s="26">
        <f t="shared" ref="E7:P7" si="0">SUM(E8:E9)</f>
        <v>272500</v>
      </c>
      <c r="F7" s="26">
        <f t="shared" si="0"/>
        <v>297025</v>
      </c>
      <c r="G7" s="26">
        <f t="shared" si="0"/>
        <v>323757.25</v>
      </c>
      <c r="H7" s="26">
        <f t="shared" si="0"/>
        <v>352895.40250000003</v>
      </c>
      <c r="I7" s="26">
        <f t="shared" si="0"/>
        <v>384655.98872500006</v>
      </c>
      <c r="J7" s="26">
        <f t="shared" si="0"/>
        <v>419275.02771025011</v>
      </c>
      <c r="K7" s="26">
        <f t="shared" si="0"/>
        <v>457009.78020417265</v>
      </c>
      <c r="L7" s="26">
        <f t="shared" si="0"/>
        <v>498140.66042254824</v>
      </c>
      <c r="M7" s="26">
        <f t="shared" si="0"/>
        <v>542973.31986057758</v>
      </c>
      <c r="N7" s="26">
        <f t="shared" si="0"/>
        <v>591840.91864802956</v>
      </c>
      <c r="O7" s="26">
        <f t="shared" si="0"/>
        <v>645106.60132635222</v>
      </c>
      <c r="P7" s="26">
        <f t="shared" si="0"/>
        <v>5035179.9493969306</v>
      </c>
      <c r="Q7" s="12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>
      <c r="A8" s="1"/>
      <c r="B8" s="5"/>
      <c r="C8" s="10" t="s">
        <v>33</v>
      </c>
      <c r="D8" s="11">
        <f>'VENTAS '!F7</f>
        <v>250000</v>
      </c>
      <c r="E8" s="11">
        <f>'VENTAS '!G7</f>
        <v>272500</v>
      </c>
      <c r="F8" s="11">
        <f>'VENTAS '!H7</f>
        <v>297025</v>
      </c>
      <c r="G8" s="11">
        <f>'VENTAS '!I7</f>
        <v>323757.25</v>
      </c>
      <c r="H8" s="11">
        <f>'VENTAS '!J7</f>
        <v>352895.40250000003</v>
      </c>
      <c r="I8" s="11">
        <f>'VENTAS '!K7</f>
        <v>384655.98872500006</v>
      </c>
      <c r="J8" s="11">
        <f>'VENTAS '!L7</f>
        <v>419275.02771025011</v>
      </c>
      <c r="K8" s="11">
        <f>'VENTAS '!M7</f>
        <v>457009.78020417265</v>
      </c>
      <c r="L8" s="11">
        <f>'VENTAS '!N7</f>
        <v>498140.66042254824</v>
      </c>
      <c r="M8" s="11">
        <f>'VENTAS '!O7</f>
        <v>542973.31986057758</v>
      </c>
      <c r="N8" s="11">
        <f>'VENTAS '!P7</f>
        <v>591840.91864802956</v>
      </c>
      <c r="O8" s="11">
        <f>'VENTAS '!Q7</f>
        <v>645106.60132635222</v>
      </c>
      <c r="P8" s="11">
        <f>'VENTAS '!R7</f>
        <v>5035179.9493969306</v>
      </c>
      <c r="Q8" s="12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"/>
      <c r="B9" s="5"/>
      <c r="C9" s="10" t="s">
        <v>34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12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1"/>
      <c r="B10" s="5"/>
      <c r="C10" s="10" t="s">
        <v>35</v>
      </c>
      <c r="D10" s="27">
        <f>SUM(D11:D13)</f>
        <v>254191</v>
      </c>
      <c r="E10" s="27">
        <f t="shared" ref="E10:P10" si="1">SUM(E11:E13)</f>
        <v>260481.25</v>
      </c>
      <c r="F10" s="27">
        <f t="shared" si="1"/>
        <v>270797.6225</v>
      </c>
      <c r="G10" s="27">
        <f t="shared" si="1"/>
        <v>292142.46852500003</v>
      </c>
      <c r="H10" s="27">
        <f t="shared" si="1"/>
        <v>291518.35069225001</v>
      </c>
      <c r="I10" s="27">
        <f t="shared" si="1"/>
        <v>303992.0622545525</v>
      </c>
      <c r="J10" s="27">
        <f t="shared" si="1"/>
        <v>316374.64785746223</v>
      </c>
      <c r="K10" s="27">
        <f t="shared" si="1"/>
        <v>322861.42616463383</v>
      </c>
      <c r="L10" s="27">
        <f t="shared" si="1"/>
        <v>333392.0145194509</v>
      </c>
      <c r="M10" s="27">
        <f t="shared" si="1"/>
        <v>347970.35582620144</v>
      </c>
      <c r="N10" s="27">
        <f t="shared" si="1"/>
        <v>354600.74785055959</v>
      </c>
      <c r="O10" s="27">
        <f t="shared" si="1"/>
        <v>369151.87515710993</v>
      </c>
      <c r="P10" s="27">
        <f t="shared" si="1"/>
        <v>3717473.8213472203</v>
      </c>
      <c r="Q10" s="12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>
      <c r="A11" s="1"/>
      <c r="B11" s="5"/>
      <c r="C11" s="10" t="s">
        <v>36</v>
      </c>
      <c r="D11" s="20">
        <f>'COMPRAS '!E7</f>
        <v>200000</v>
      </c>
      <c r="E11" s="20">
        <f>'COMPRAS '!F7</f>
        <v>210000</v>
      </c>
      <c r="F11" s="20">
        <f>'COMPRAS '!G7</f>
        <v>220000</v>
      </c>
      <c r="G11" s="20">
        <f>'COMPRAS '!H7</f>
        <v>230000</v>
      </c>
      <c r="H11" s="20">
        <f>'COMPRAS '!I7</f>
        <v>240000</v>
      </c>
      <c r="I11" s="20">
        <f>'COMPRAS '!J7</f>
        <v>250000</v>
      </c>
      <c r="J11" s="20">
        <f>'COMPRAS '!K7</f>
        <v>260000</v>
      </c>
      <c r="K11" s="20">
        <f>'COMPRAS '!L7</f>
        <v>270000</v>
      </c>
      <c r="L11" s="20">
        <f>'COMPRAS '!M7</f>
        <v>280000</v>
      </c>
      <c r="M11" s="20">
        <f>'COMPRAS '!N7</f>
        <v>290000</v>
      </c>
      <c r="N11" s="20">
        <f>'COMPRAS '!O7</f>
        <v>300000</v>
      </c>
      <c r="O11" s="20">
        <f>'COMPRAS '!P7</f>
        <v>310000</v>
      </c>
      <c r="P11" s="20">
        <f>'COMPRAS '!Q7</f>
        <v>3060000</v>
      </c>
      <c r="Q11" s="12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>
      <c r="A12" s="1"/>
      <c r="B12" s="5"/>
      <c r="C12" s="10" t="s">
        <v>37</v>
      </c>
      <c r="D12" s="24">
        <f>'PERSONAL '!E17</f>
        <v>10191</v>
      </c>
      <c r="E12" s="24">
        <f>'PERSONAL '!F17</f>
        <v>10481.25</v>
      </c>
      <c r="F12" s="24">
        <f>'PERSONAL '!G17</f>
        <v>10797.622499999999</v>
      </c>
      <c r="G12" s="24">
        <f>'PERSONAL '!H17</f>
        <v>11142.468525</v>
      </c>
      <c r="H12" s="24">
        <f>'PERSONAL '!I17</f>
        <v>11518.350692250002</v>
      </c>
      <c r="I12" s="24">
        <f>'PERSONAL '!J17</f>
        <v>13992.062254552502</v>
      </c>
      <c r="J12" s="24">
        <f>'PERSONAL '!K17</f>
        <v>12374.647857462227</v>
      </c>
      <c r="K12" s="24">
        <f>'PERSONAL '!L17</f>
        <v>12861.426164633829</v>
      </c>
      <c r="L12" s="24">
        <f>'PERSONAL '!M17</f>
        <v>13392.014519450871</v>
      </c>
      <c r="M12" s="24">
        <f>'PERSONAL '!N17</f>
        <v>13970.35582620145</v>
      </c>
      <c r="N12" s="24">
        <f>'PERSONAL '!O17</f>
        <v>14600.747850559581</v>
      </c>
      <c r="O12" s="24">
        <f>'PERSONAL '!P17</f>
        <v>17351.875157109942</v>
      </c>
      <c r="P12" s="24">
        <f>'PERSONAL '!Q17</f>
        <v>152673.82134722039</v>
      </c>
      <c r="Q12" s="12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>
      <c r="A13" s="1"/>
      <c r="B13" s="5"/>
      <c r="C13" s="10" t="s">
        <v>29</v>
      </c>
      <c r="D13" s="24">
        <f>'GASTOS GENERALES '!D12</f>
        <v>44000</v>
      </c>
      <c r="E13" s="24">
        <f>'GASTOS GENERALES '!E12</f>
        <v>40000</v>
      </c>
      <c r="F13" s="24">
        <f>'GASTOS GENERALES '!F12</f>
        <v>40000</v>
      </c>
      <c r="G13" s="24">
        <f>'GASTOS GENERALES '!G12</f>
        <v>51000</v>
      </c>
      <c r="H13" s="24">
        <f>'GASTOS GENERALES '!H12</f>
        <v>40000</v>
      </c>
      <c r="I13" s="24">
        <f>'GASTOS GENERALES '!I12</f>
        <v>40000</v>
      </c>
      <c r="J13" s="24">
        <f>'GASTOS GENERALES '!J12</f>
        <v>44000</v>
      </c>
      <c r="K13" s="24">
        <f>'GASTOS GENERALES '!K12</f>
        <v>40000</v>
      </c>
      <c r="L13" s="24">
        <f>'GASTOS GENERALES '!L12</f>
        <v>40000</v>
      </c>
      <c r="M13" s="24">
        <f>'GASTOS GENERALES '!M12</f>
        <v>44000</v>
      </c>
      <c r="N13" s="24">
        <f>'GASTOS GENERALES '!N12</f>
        <v>40000</v>
      </c>
      <c r="O13" s="24">
        <f>'GASTOS GENERALES '!O12</f>
        <v>41800</v>
      </c>
      <c r="P13" s="24">
        <f>'GASTOS GENERALES '!P12</f>
        <v>504800</v>
      </c>
      <c r="Q13" s="12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>
      <c r="A14" s="1"/>
      <c r="B14" s="5"/>
      <c r="C14" s="28" t="s">
        <v>38</v>
      </c>
      <c r="D14" s="29">
        <f>D7-D10</f>
        <v>-4191</v>
      </c>
      <c r="E14" s="29">
        <f t="shared" ref="E14:P14" si="2">E7-E10</f>
        <v>12018.75</v>
      </c>
      <c r="F14" s="29">
        <f t="shared" si="2"/>
        <v>26227.377500000002</v>
      </c>
      <c r="G14" s="29">
        <f t="shared" si="2"/>
        <v>31614.781474999967</v>
      </c>
      <c r="H14" s="29">
        <f t="shared" si="2"/>
        <v>61377.051807750016</v>
      </c>
      <c r="I14" s="29">
        <f t="shared" si="2"/>
        <v>80663.926470447564</v>
      </c>
      <c r="J14" s="29">
        <f t="shared" si="2"/>
        <v>102900.37985278788</v>
      </c>
      <c r="K14" s="29">
        <f t="shared" si="2"/>
        <v>134148.35403953883</v>
      </c>
      <c r="L14" s="29">
        <f t="shared" si="2"/>
        <v>164748.64590309735</v>
      </c>
      <c r="M14" s="29">
        <f t="shared" si="2"/>
        <v>195002.96403437614</v>
      </c>
      <c r="N14" s="29">
        <f t="shared" si="2"/>
        <v>237240.17079746997</v>
      </c>
      <c r="O14" s="29">
        <f t="shared" si="2"/>
        <v>275954.72616924229</v>
      </c>
      <c r="P14" s="29">
        <f t="shared" si="2"/>
        <v>1317706.1280497103</v>
      </c>
      <c r="Q14" s="12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>
      <c r="A15" s="1"/>
      <c r="B15" s="5"/>
      <c r="C15" s="10" t="s">
        <v>39</v>
      </c>
      <c r="D15" s="24">
        <f>'FINANCIERO '!D10</f>
        <v>40.5</v>
      </c>
      <c r="E15" s="24">
        <f>'FINANCIERO '!E10</f>
        <v>40.5</v>
      </c>
      <c r="F15" s="24">
        <f>'FINANCIERO '!F10</f>
        <v>40.5</v>
      </c>
      <c r="G15" s="24">
        <f>'FINANCIERO '!G10</f>
        <v>40.5</v>
      </c>
      <c r="H15" s="24">
        <f>'FINANCIERO '!H10</f>
        <v>40.5</v>
      </c>
      <c r="I15" s="24">
        <f>'FINANCIERO '!I10</f>
        <v>40.5</v>
      </c>
      <c r="J15" s="24">
        <f>'FINANCIERO '!J10</f>
        <v>40.5</v>
      </c>
      <c r="K15" s="24">
        <f>'FINANCIERO '!K10</f>
        <v>40.5</v>
      </c>
      <c r="L15" s="24">
        <f>'FINANCIERO '!L10</f>
        <v>40.5</v>
      </c>
      <c r="M15" s="24">
        <f>'FINANCIERO '!M10</f>
        <v>40.5</v>
      </c>
      <c r="N15" s="24">
        <f>'FINANCIERO '!N10</f>
        <v>40.5</v>
      </c>
      <c r="O15" s="24">
        <f>'FINANCIERO '!O10</f>
        <v>40.5</v>
      </c>
      <c r="P15" s="24">
        <f>SUM(D15:O15)</f>
        <v>486</v>
      </c>
      <c r="Q15" s="12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>
      <c r="A16" s="1"/>
      <c r="B16" s="5"/>
      <c r="C16" s="10" t="s">
        <v>40</v>
      </c>
      <c r="D16" s="24">
        <f>'FINANCIERO '!D14</f>
        <v>100</v>
      </c>
      <c r="E16" s="24">
        <f>'FINANCIERO '!E14</f>
        <v>100</v>
      </c>
      <c r="F16" s="24">
        <f>'FINANCIERO '!F14</f>
        <v>100</v>
      </c>
      <c r="G16" s="24">
        <f>'FINANCIERO '!G14</f>
        <v>100</v>
      </c>
      <c r="H16" s="24">
        <f>'FINANCIERO '!H14</f>
        <v>100</v>
      </c>
      <c r="I16" s="24">
        <f>'FINANCIERO '!I14</f>
        <v>100</v>
      </c>
      <c r="J16" s="24">
        <f>'FINANCIERO '!J14</f>
        <v>100</v>
      </c>
      <c r="K16" s="24">
        <f>'FINANCIERO '!K14</f>
        <v>100</v>
      </c>
      <c r="L16" s="24">
        <f>'FINANCIERO '!L14</f>
        <v>100</v>
      </c>
      <c r="M16" s="24">
        <f>'FINANCIERO '!M14</f>
        <v>100</v>
      </c>
      <c r="N16" s="24">
        <f>'FINANCIERO '!N14</f>
        <v>100</v>
      </c>
      <c r="O16" s="24">
        <f>'FINANCIERO '!O14</f>
        <v>3100</v>
      </c>
      <c r="P16" s="24">
        <f>SUM(D16:O16)</f>
        <v>4200</v>
      </c>
      <c r="Q16" s="12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>
      <c r="A17" s="1"/>
      <c r="B17" s="5"/>
      <c r="C17" s="28" t="s">
        <v>41</v>
      </c>
      <c r="D17" s="29">
        <f>D15-D16</f>
        <v>-59.5</v>
      </c>
      <c r="E17" s="29">
        <f t="shared" ref="E17:P17" si="3">E15-E16</f>
        <v>-59.5</v>
      </c>
      <c r="F17" s="29">
        <f t="shared" si="3"/>
        <v>-59.5</v>
      </c>
      <c r="G17" s="29">
        <f t="shared" si="3"/>
        <v>-59.5</v>
      </c>
      <c r="H17" s="29">
        <f t="shared" si="3"/>
        <v>-59.5</v>
      </c>
      <c r="I17" s="29">
        <f t="shared" si="3"/>
        <v>-59.5</v>
      </c>
      <c r="J17" s="29">
        <f t="shared" si="3"/>
        <v>-59.5</v>
      </c>
      <c r="K17" s="29">
        <f t="shared" si="3"/>
        <v>-59.5</v>
      </c>
      <c r="L17" s="29">
        <f t="shared" si="3"/>
        <v>-59.5</v>
      </c>
      <c r="M17" s="29">
        <f t="shared" si="3"/>
        <v>-59.5</v>
      </c>
      <c r="N17" s="29">
        <f t="shared" si="3"/>
        <v>-59.5</v>
      </c>
      <c r="O17" s="29">
        <f t="shared" si="3"/>
        <v>-3059.5</v>
      </c>
      <c r="P17" s="29">
        <f t="shared" si="3"/>
        <v>-3714</v>
      </c>
      <c r="Q17" s="12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>
      <c r="A18" s="1"/>
      <c r="B18" s="5"/>
      <c r="C18" s="28" t="s">
        <v>42</v>
      </c>
      <c r="D18" s="29">
        <f>D14+D17</f>
        <v>-4250.5</v>
      </c>
      <c r="E18" s="29">
        <f t="shared" ref="E18:P18" si="4">E14+E17</f>
        <v>11959.25</v>
      </c>
      <c r="F18" s="29">
        <f t="shared" si="4"/>
        <v>26167.877500000002</v>
      </c>
      <c r="G18" s="29">
        <f t="shared" si="4"/>
        <v>31555.281474999967</v>
      </c>
      <c r="H18" s="29">
        <f t="shared" si="4"/>
        <v>61317.551807750016</v>
      </c>
      <c r="I18" s="29">
        <f t="shared" si="4"/>
        <v>80604.426470447564</v>
      </c>
      <c r="J18" s="29">
        <f t="shared" si="4"/>
        <v>102840.87985278788</v>
      </c>
      <c r="K18" s="29">
        <f t="shared" si="4"/>
        <v>134088.85403953883</v>
      </c>
      <c r="L18" s="29">
        <f t="shared" si="4"/>
        <v>164689.14590309735</v>
      </c>
      <c r="M18" s="29">
        <f t="shared" si="4"/>
        <v>194943.46403437614</v>
      </c>
      <c r="N18" s="29">
        <f t="shared" si="4"/>
        <v>237180.67079746997</v>
      </c>
      <c r="O18" s="29">
        <f t="shared" si="4"/>
        <v>272895.22616924229</v>
      </c>
      <c r="P18" s="29">
        <f t="shared" si="4"/>
        <v>1313992.1280497103</v>
      </c>
      <c r="Q18" s="12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7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7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3">
    <mergeCell ref="O5:O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conditionalFormatting sqref="D8:P9 D11:P18">
    <cfRule type="cellIs" dxfId="9" priority="1" operator="lessThan">
      <formula>0</formula>
    </cfRule>
  </conditionalFormatting>
  <pageMargins left="0.75" right="0.75" top="1" bottom="1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00"/>
  <sheetViews>
    <sheetView topLeftCell="B1" zoomScaleNormal="100" workbookViewId="0">
      <pane ySplit="1" topLeftCell="A2" activePane="bottomLeft" state="frozen"/>
      <selection pane="bottomLeft" activeCell="H25" sqref="H25"/>
    </sheetView>
  </sheetViews>
  <sheetFormatPr baseColWidth="10" defaultColWidth="14.42578125" defaultRowHeight="15" customHeight="1"/>
  <cols>
    <col min="1" max="2" width="11.42578125" customWidth="1"/>
    <col min="3" max="3" width="46.5703125" bestFit="1" customWidth="1"/>
    <col min="4" max="4" width="15.85546875" bestFit="1" customWidth="1"/>
    <col min="5" max="6" width="14.5703125" customWidth="1"/>
    <col min="7" max="8" width="15.85546875" bestFit="1" customWidth="1"/>
    <col min="9" max="9" width="14.5703125" bestFit="1" customWidth="1"/>
    <col min="10" max="13" width="15.7109375" bestFit="1" customWidth="1"/>
    <col min="14" max="16" width="17.7109375" bestFit="1" customWidth="1"/>
    <col min="17" max="26" width="11.42578125" customWidth="1"/>
  </cols>
  <sheetData>
    <row r="1" spans="1:26" ht="13.5" customHeight="1" thickBot="1">
      <c r="A1" s="1"/>
      <c r="B1" s="5"/>
      <c r="C1" s="42"/>
      <c r="D1" s="40" t="s">
        <v>3</v>
      </c>
      <c r="E1" s="40" t="s">
        <v>4</v>
      </c>
      <c r="F1" s="40" t="s">
        <v>5</v>
      </c>
      <c r="G1" s="40" t="s">
        <v>6</v>
      </c>
      <c r="H1" s="40" t="s">
        <v>7</v>
      </c>
      <c r="I1" s="40" t="s">
        <v>8</v>
      </c>
      <c r="J1" s="40" t="s">
        <v>9</v>
      </c>
      <c r="K1" s="40" t="s">
        <v>10</v>
      </c>
      <c r="L1" s="40" t="s">
        <v>11</v>
      </c>
      <c r="M1" s="40" t="s">
        <v>12</v>
      </c>
      <c r="N1" s="40" t="s">
        <v>1</v>
      </c>
      <c r="O1" s="40" t="s">
        <v>2</v>
      </c>
      <c r="P1" s="8" t="s">
        <v>13</v>
      </c>
      <c r="Q1" s="7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thickBot="1">
      <c r="A2" s="1"/>
      <c r="B2" s="5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8" t="s">
        <v>14</v>
      </c>
      <c r="Q2" s="7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 thickBot="1">
      <c r="A3" s="1"/>
      <c r="B3" s="5"/>
      <c r="C3" s="28" t="s">
        <v>60</v>
      </c>
      <c r="D3" s="24">
        <v>15000</v>
      </c>
      <c r="E3" s="24">
        <f>D22</f>
        <v>0</v>
      </c>
      <c r="F3" s="24">
        <f t="shared" ref="F3:O3" si="0">E22</f>
        <v>0</v>
      </c>
      <c r="G3" s="24">
        <f t="shared" si="0"/>
        <v>-9.0949470177292824E-12</v>
      </c>
      <c r="H3" s="24">
        <f t="shared" si="0"/>
        <v>27566.63660000002</v>
      </c>
      <c r="I3" s="24">
        <f t="shared" si="0"/>
        <v>54339.494193999963</v>
      </c>
      <c r="J3" s="24">
        <f t="shared" si="0"/>
        <v>97833.443971459987</v>
      </c>
      <c r="K3" s="24">
        <f t="shared" si="0"/>
        <v>154252.25040293142</v>
      </c>
      <c r="L3" s="24">
        <f t="shared" si="0"/>
        <v>243025.28668353171</v>
      </c>
      <c r="M3" s="24">
        <f t="shared" si="0"/>
        <v>358143.43122938607</v>
      </c>
      <c r="N3" s="24">
        <f t="shared" si="0"/>
        <v>494086.66303502815</v>
      </c>
      <c r="O3" s="24">
        <f t="shared" si="0"/>
        <v>672002.59871995775</v>
      </c>
      <c r="P3" s="24">
        <v>9000</v>
      </c>
      <c r="Q3" s="12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 thickBot="1">
      <c r="A4" s="1"/>
      <c r="B4" s="5"/>
      <c r="C4" s="10" t="s">
        <v>61</v>
      </c>
      <c r="D4" s="27">
        <f>SUM(D5:D6)</f>
        <v>227000</v>
      </c>
      <c r="E4" s="27">
        <f t="shared" ref="E4:P4" si="1">SUM(E5:E6)</f>
        <v>244000</v>
      </c>
      <c r="F4" s="27">
        <f t="shared" si="1"/>
        <v>265750</v>
      </c>
      <c r="G4" s="27">
        <f t="shared" si="1"/>
        <v>289667.5</v>
      </c>
      <c r="H4" s="27">
        <f t="shared" si="1"/>
        <v>315737.57499999995</v>
      </c>
      <c r="I4" s="27">
        <f t="shared" si="1"/>
        <v>344153.95675000001</v>
      </c>
      <c r="J4" s="27">
        <f t="shared" si="1"/>
        <v>375127.81285750004</v>
      </c>
      <c r="K4" s="27">
        <f t="shared" si="1"/>
        <v>408889.31601467507</v>
      </c>
      <c r="L4" s="27">
        <f t="shared" si="1"/>
        <v>445689.35445599584</v>
      </c>
      <c r="M4" s="27">
        <f t="shared" si="1"/>
        <v>485801.3963570355</v>
      </c>
      <c r="N4" s="27">
        <f t="shared" si="1"/>
        <v>529523.52202916879</v>
      </c>
      <c r="O4" s="27">
        <f t="shared" si="1"/>
        <v>577180.63901179389</v>
      </c>
      <c r="P4" s="27">
        <f t="shared" si="1"/>
        <v>4508521.0724761691</v>
      </c>
      <c r="Q4" s="12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 thickBot="1">
      <c r="A5" s="1"/>
      <c r="B5" s="5"/>
      <c r="C5" s="10" t="s">
        <v>62</v>
      </c>
      <c r="D5" s="24">
        <f>'VENTAS '!F8</f>
        <v>227000</v>
      </c>
      <c r="E5" s="24">
        <f>'VENTAS '!G8</f>
        <v>244000</v>
      </c>
      <c r="F5" s="24">
        <f>'VENTAS '!H8</f>
        <v>265750</v>
      </c>
      <c r="G5" s="24">
        <f>'VENTAS '!I8</f>
        <v>289667.5</v>
      </c>
      <c r="H5" s="24">
        <f>'VENTAS '!J8</f>
        <v>315737.57499999995</v>
      </c>
      <c r="I5" s="24">
        <f>'VENTAS '!K8</f>
        <v>344153.95675000001</v>
      </c>
      <c r="J5" s="24">
        <f>'VENTAS '!L8</f>
        <v>375127.81285750004</v>
      </c>
      <c r="K5" s="24">
        <f>'VENTAS '!M8</f>
        <v>408889.31601467507</v>
      </c>
      <c r="L5" s="24">
        <f>'VENTAS '!N8</f>
        <v>445689.35445599584</v>
      </c>
      <c r="M5" s="24">
        <f>'VENTAS '!O8</f>
        <v>485801.3963570355</v>
      </c>
      <c r="N5" s="24">
        <f>'VENTAS '!P8</f>
        <v>529523.52202916879</v>
      </c>
      <c r="O5" s="24">
        <f>'VENTAS '!Q8</f>
        <v>577180.63901179389</v>
      </c>
      <c r="P5" s="24">
        <f>'VENTAS '!R8</f>
        <v>4508521.0724761691</v>
      </c>
      <c r="Q5" s="12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 thickBot="1">
      <c r="A6" s="1"/>
      <c r="B6" s="5"/>
      <c r="C6" s="10" t="s">
        <v>63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0"/>
      <c r="Q6" s="12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 thickBot="1">
      <c r="A7" s="1"/>
      <c r="B7" s="5"/>
      <c r="C7" s="10" t="s">
        <v>64</v>
      </c>
      <c r="D7" s="27">
        <f>SUM(D8:D10)</f>
        <v>249333</v>
      </c>
      <c r="E7" s="27">
        <f t="shared" ref="E7:P7" si="2">SUM(E8:E10)</f>
        <v>257116</v>
      </c>
      <c r="F7" s="27">
        <f t="shared" si="2"/>
        <v>267387.26</v>
      </c>
      <c r="G7" s="27">
        <f t="shared" si="2"/>
        <v>292586.17339999997</v>
      </c>
      <c r="H7" s="27">
        <f t="shared" si="2"/>
        <v>288005.21740600001</v>
      </c>
      <c r="I7" s="27">
        <f t="shared" si="2"/>
        <v>299700.50697254</v>
      </c>
      <c r="J7" s="27">
        <f t="shared" si="2"/>
        <v>317749.50642602862</v>
      </c>
      <c r="K7" s="27">
        <f t="shared" si="2"/>
        <v>319156.77973407478</v>
      </c>
      <c r="L7" s="27">
        <f t="shared" si="2"/>
        <v>329611.70991014148</v>
      </c>
      <c r="M7" s="27">
        <f t="shared" si="2"/>
        <v>348898.66455139342</v>
      </c>
      <c r="N7" s="27">
        <f t="shared" si="2"/>
        <v>350648.08634423913</v>
      </c>
      <c r="O7" s="27">
        <f t="shared" si="2"/>
        <v>362581.23411522066</v>
      </c>
      <c r="P7" s="27">
        <f t="shared" si="2"/>
        <v>3682774.138859638</v>
      </c>
      <c r="Q7" s="12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 thickBot="1">
      <c r="A8" s="1"/>
      <c r="B8" s="5"/>
      <c r="C8" s="10" t="s">
        <v>65</v>
      </c>
      <c r="D8" s="24">
        <f>'COMPRAS '!E8</f>
        <v>196000</v>
      </c>
      <c r="E8" s="24">
        <f>'COMPRAS '!F8</f>
        <v>208000</v>
      </c>
      <c r="F8" s="24">
        <f>'COMPRAS '!G8</f>
        <v>218000</v>
      </c>
      <c r="G8" s="24">
        <f>'COMPRAS '!H8</f>
        <v>228000</v>
      </c>
      <c r="H8" s="24">
        <f>'COMPRAS '!I8</f>
        <v>238000</v>
      </c>
      <c r="I8" s="24">
        <f>'COMPRAS '!J8</f>
        <v>248000</v>
      </c>
      <c r="J8" s="24">
        <f>'COMPRAS '!K8</f>
        <v>258000</v>
      </c>
      <c r="K8" s="24">
        <f>'COMPRAS '!L8</f>
        <v>268000</v>
      </c>
      <c r="L8" s="24">
        <f>'COMPRAS '!M8</f>
        <v>278000</v>
      </c>
      <c r="M8" s="24">
        <f>'COMPRAS '!N8</f>
        <v>288000</v>
      </c>
      <c r="N8" s="24">
        <f>'COMPRAS '!O8</f>
        <v>298000</v>
      </c>
      <c r="O8" s="24">
        <f>'COMPRAS '!P8</f>
        <v>308000</v>
      </c>
      <c r="P8" s="24">
        <f>'COMPRAS '!Q8</f>
        <v>3034000</v>
      </c>
      <c r="Q8" s="12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 thickBot="1">
      <c r="A9" s="1"/>
      <c r="B9" s="5"/>
      <c r="C9" s="10" t="s">
        <v>66</v>
      </c>
      <c r="D9" s="24">
        <f>'PERSONAL '!E21</f>
        <v>9333</v>
      </c>
      <c r="E9" s="24">
        <f>'PERSONAL '!F21</f>
        <v>9116</v>
      </c>
      <c r="F9" s="24">
        <f>'PERSONAL '!G21</f>
        <v>9387.26</v>
      </c>
      <c r="G9" s="24">
        <f>'PERSONAL '!H21</f>
        <v>13586.1734</v>
      </c>
      <c r="H9" s="24">
        <f>'PERSONAL '!I21</f>
        <v>10005.217406</v>
      </c>
      <c r="I9" s="24">
        <f>'PERSONAL '!J21</f>
        <v>11700.506972540003</v>
      </c>
      <c r="J9" s="24">
        <f>'PERSONAL '!K21</f>
        <v>15749.506426028602</v>
      </c>
      <c r="K9" s="24">
        <f>'PERSONAL '!L21</f>
        <v>11156.779734074775</v>
      </c>
      <c r="L9" s="24">
        <f>'PERSONAL '!M21</f>
        <v>11611.709910141506</v>
      </c>
      <c r="M9" s="24">
        <f>'PERSONAL '!N21</f>
        <v>16898.664551393395</v>
      </c>
      <c r="N9" s="24">
        <f>'PERSONAL '!O21</f>
        <v>12648.086344239122</v>
      </c>
      <c r="O9" s="24">
        <f>'PERSONAL '!P21</f>
        <v>14581.234115220643</v>
      </c>
      <c r="P9" s="24">
        <f>'PERSONAL '!Q21</f>
        <v>145774.13885963804</v>
      </c>
      <c r="Q9" s="12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 thickBot="1">
      <c r="A10" s="1"/>
      <c r="B10" s="5"/>
      <c r="C10" s="10" t="s">
        <v>67</v>
      </c>
      <c r="D10" s="24">
        <f>'GASTOS GENERALES '!D13</f>
        <v>44000</v>
      </c>
      <c r="E10" s="24">
        <f>'GASTOS GENERALES '!E13</f>
        <v>40000</v>
      </c>
      <c r="F10" s="24">
        <f>'GASTOS GENERALES '!F13</f>
        <v>40000</v>
      </c>
      <c r="G10" s="24">
        <f>'GASTOS GENERALES '!G13</f>
        <v>51000</v>
      </c>
      <c r="H10" s="24">
        <f>'GASTOS GENERALES '!H13</f>
        <v>40000</v>
      </c>
      <c r="I10" s="24">
        <f>'GASTOS GENERALES '!I13</f>
        <v>40000</v>
      </c>
      <c r="J10" s="24">
        <f>'GASTOS GENERALES '!J13</f>
        <v>44000</v>
      </c>
      <c r="K10" s="24">
        <f>'GASTOS GENERALES '!K13</f>
        <v>40000</v>
      </c>
      <c r="L10" s="24">
        <f>'GASTOS GENERALES '!L13</f>
        <v>40000</v>
      </c>
      <c r="M10" s="24">
        <f>'GASTOS GENERALES '!M13</f>
        <v>44000</v>
      </c>
      <c r="N10" s="24">
        <f>'GASTOS GENERALES '!N13</f>
        <v>40000</v>
      </c>
      <c r="O10" s="24">
        <f>'GASTOS GENERALES '!O13</f>
        <v>40000</v>
      </c>
      <c r="P10" s="24">
        <f>'GASTOS GENERALES '!P13</f>
        <v>503000</v>
      </c>
      <c r="Q10" s="12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 thickBot="1">
      <c r="A11" s="1"/>
      <c r="B11" s="5"/>
      <c r="C11" s="28" t="s">
        <v>68</v>
      </c>
      <c r="D11" s="29">
        <f>D4-D7</f>
        <v>-22333</v>
      </c>
      <c r="E11" s="29">
        <f t="shared" ref="E11:P11" si="3">E4-E7</f>
        <v>-13116</v>
      </c>
      <c r="F11" s="29">
        <f t="shared" si="3"/>
        <v>-1637.2600000000093</v>
      </c>
      <c r="G11" s="29">
        <f t="shared" si="3"/>
        <v>-2918.6733999999706</v>
      </c>
      <c r="H11" s="29">
        <f t="shared" si="3"/>
        <v>27732.357593999943</v>
      </c>
      <c r="I11" s="29">
        <f t="shared" si="3"/>
        <v>44453.449777460017</v>
      </c>
      <c r="J11" s="29">
        <f t="shared" si="3"/>
        <v>57378.306431471428</v>
      </c>
      <c r="K11" s="29">
        <f t="shared" si="3"/>
        <v>89732.536280600296</v>
      </c>
      <c r="L11" s="29">
        <f t="shared" si="3"/>
        <v>116077.64454585436</v>
      </c>
      <c r="M11" s="29">
        <f t="shared" si="3"/>
        <v>136902.73180564208</v>
      </c>
      <c r="N11" s="29">
        <f t="shared" si="3"/>
        <v>178875.43568492966</v>
      </c>
      <c r="O11" s="29">
        <f t="shared" si="3"/>
        <v>214599.40489657322</v>
      </c>
      <c r="P11" s="29">
        <f t="shared" si="3"/>
        <v>825746.93361653108</v>
      </c>
      <c r="Q11" s="12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 thickBot="1">
      <c r="A12" s="1"/>
      <c r="B12" s="5"/>
      <c r="C12" s="10" t="s">
        <v>69</v>
      </c>
      <c r="D12" s="24">
        <v>50000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0">
        <f t="shared" ref="P12" si="4">SUM(D12:O12)</f>
        <v>50000</v>
      </c>
      <c r="Q12" s="12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 thickBot="1">
      <c r="A13" s="1"/>
      <c r="B13" s="5"/>
      <c r="C13" s="10" t="s">
        <v>70</v>
      </c>
      <c r="D13" s="24">
        <v>48292.5</v>
      </c>
      <c r="E13" s="24">
        <v>14075.5</v>
      </c>
      <c r="F13" s="24">
        <f>+TESORERIA!F13</f>
        <v>2596.7600000000002</v>
      </c>
      <c r="G13" s="24">
        <v>31444.81</v>
      </c>
      <c r="H13" s="24"/>
      <c r="I13" s="24"/>
      <c r="J13" s="24"/>
      <c r="K13" s="24"/>
      <c r="L13" s="24"/>
      <c r="M13" s="24"/>
      <c r="N13" s="24"/>
      <c r="O13" s="24"/>
      <c r="P13" s="20">
        <f>SUM(D13:O13)</f>
        <v>96409.57</v>
      </c>
      <c r="Q13" s="12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 thickBot="1">
      <c r="A14" s="1"/>
      <c r="B14" s="5"/>
      <c r="C14" s="10" t="s">
        <v>71</v>
      </c>
      <c r="D14" s="24">
        <v>900</v>
      </c>
      <c r="E14" s="24">
        <v>900</v>
      </c>
      <c r="F14" s="24">
        <v>900</v>
      </c>
      <c r="G14" s="24">
        <v>900</v>
      </c>
      <c r="H14" s="24">
        <v>900</v>
      </c>
      <c r="I14" s="24">
        <v>900</v>
      </c>
      <c r="J14" s="24">
        <v>900</v>
      </c>
      <c r="K14" s="24">
        <v>900</v>
      </c>
      <c r="L14" s="24">
        <v>900</v>
      </c>
      <c r="M14" s="24">
        <v>900</v>
      </c>
      <c r="N14" s="24">
        <v>900</v>
      </c>
      <c r="O14" s="24">
        <v>900</v>
      </c>
      <c r="P14" s="20">
        <f>SUM(D14:O14)</f>
        <v>10800</v>
      </c>
      <c r="Q14" s="12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thickBot="1">
      <c r="A15" s="1"/>
      <c r="B15" s="5"/>
      <c r="C15" s="10" t="s">
        <v>72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>
        <f>SUM(D13:O13)</f>
        <v>96409.57</v>
      </c>
      <c r="P15" s="20">
        <f t="shared" ref="P15:P16" si="5">SUM(D15:O15)</f>
        <v>96409.57</v>
      </c>
      <c r="Q15" s="12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 thickBot="1">
      <c r="A16" s="1"/>
      <c r="B16" s="5"/>
      <c r="C16" s="10" t="s">
        <v>86</v>
      </c>
      <c r="D16" s="24">
        <f>'FINANCIERO '!D15</f>
        <v>-59.5</v>
      </c>
      <c r="E16" s="24">
        <f>'FINANCIERO '!E15</f>
        <v>-59.5</v>
      </c>
      <c r="F16" s="24">
        <f>'FINANCIERO '!F15</f>
        <v>-59.5</v>
      </c>
      <c r="G16" s="24">
        <f>'FINANCIERO '!G15</f>
        <v>-59.5</v>
      </c>
      <c r="H16" s="24">
        <f>'FINANCIERO '!H15</f>
        <v>-59.5</v>
      </c>
      <c r="I16" s="24">
        <f>'FINANCIERO '!I15</f>
        <v>-59.5</v>
      </c>
      <c r="J16" s="24">
        <f>'FINANCIERO '!J15</f>
        <v>-59.5</v>
      </c>
      <c r="K16" s="24">
        <f>'FINANCIERO '!K15</f>
        <v>-59.5</v>
      </c>
      <c r="L16" s="24">
        <f>'FINANCIERO '!L15</f>
        <v>-59.5</v>
      </c>
      <c r="M16" s="24">
        <f>'FINANCIERO '!M15</f>
        <v>-59.5</v>
      </c>
      <c r="N16" s="24">
        <f>'FINANCIERO '!N15</f>
        <v>-59.5</v>
      </c>
      <c r="O16" s="24">
        <f>'FINANCIERO '!O15</f>
        <v>-3059.5</v>
      </c>
      <c r="P16" s="20">
        <f t="shared" si="5"/>
        <v>-3714</v>
      </c>
      <c r="Q16" s="12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 thickBot="1">
      <c r="A17" s="1"/>
      <c r="B17" s="5"/>
      <c r="C17" s="28" t="s">
        <v>73</v>
      </c>
      <c r="D17" s="29">
        <f>D12+D13+D16-D14-D15</f>
        <v>97333</v>
      </c>
      <c r="E17" s="29">
        <f t="shared" ref="E17:P17" si="6">E12+E13-E14-E15+E16</f>
        <v>13116</v>
      </c>
      <c r="F17" s="29">
        <f t="shared" si="6"/>
        <v>1637.2600000000002</v>
      </c>
      <c r="G17" s="29">
        <f t="shared" si="6"/>
        <v>30485.31</v>
      </c>
      <c r="H17" s="29">
        <f t="shared" si="6"/>
        <v>-959.5</v>
      </c>
      <c r="I17" s="29">
        <f t="shared" si="6"/>
        <v>-959.5</v>
      </c>
      <c r="J17" s="29">
        <f t="shared" si="6"/>
        <v>-959.5</v>
      </c>
      <c r="K17" s="29">
        <f t="shared" si="6"/>
        <v>-959.5</v>
      </c>
      <c r="L17" s="29">
        <f t="shared" si="6"/>
        <v>-959.5</v>
      </c>
      <c r="M17" s="29">
        <f t="shared" si="6"/>
        <v>-959.5</v>
      </c>
      <c r="N17" s="29">
        <f t="shared" si="6"/>
        <v>-959.5</v>
      </c>
      <c r="O17" s="29">
        <f t="shared" si="6"/>
        <v>-100369.07</v>
      </c>
      <c r="P17" s="29">
        <f t="shared" si="6"/>
        <v>35486</v>
      </c>
      <c r="Q17" s="12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 thickBot="1">
      <c r="A18" s="1"/>
      <c r="B18" s="5"/>
      <c r="C18" s="10" t="s">
        <v>74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0">
        <f>SUM(D18:O18)</f>
        <v>0</v>
      </c>
      <c r="Q18" s="12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 thickBot="1">
      <c r="A19" s="1"/>
      <c r="B19" s="5"/>
      <c r="C19" s="10" t="s">
        <v>75</v>
      </c>
      <c r="D19" s="24">
        <v>90000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0">
        <f>SUM(D19:O19)</f>
        <v>90000</v>
      </c>
      <c r="Q19" s="12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 thickBot="1">
      <c r="A20" s="1"/>
      <c r="B20" s="5"/>
      <c r="C20" s="28" t="s">
        <v>76</v>
      </c>
      <c r="D20" s="29">
        <f>D18-D19</f>
        <v>-90000</v>
      </c>
      <c r="E20" s="29">
        <f t="shared" ref="E20:P20" si="7">E18-E19</f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7"/>
        <v>0</v>
      </c>
      <c r="O20" s="29">
        <f t="shared" si="7"/>
        <v>0</v>
      </c>
      <c r="P20" s="29">
        <f t="shared" si="7"/>
        <v>-90000</v>
      </c>
      <c r="Q20" s="12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 thickBot="1">
      <c r="A21" s="1"/>
      <c r="B21" s="5"/>
      <c r="C21" s="28" t="s">
        <v>77</v>
      </c>
      <c r="D21" s="29">
        <f>D11+D17+D20</f>
        <v>-15000</v>
      </c>
      <c r="E21" s="29">
        <f t="shared" ref="E21:P21" si="8">E11+E17+E20</f>
        <v>0</v>
      </c>
      <c r="F21" s="29">
        <f t="shared" si="8"/>
        <v>-9.0949470177292824E-12</v>
      </c>
      <c r="G21" s="29">
        <f t="shared" si="8"/>
        <v>27566.636600000031</v>
      </c>
      <c r="H21" s="29">
        <f t="shared" si="8"/>
        <v>26772.857593999943</v>
      </c>
      <c r="I21" s="29">
        <f t="shared" si="8"/>
        <v>43493.949777460017</v>
      </c>
      <c r="J21" s="29">
        <f t="shared" si="8"/>
        <v>56418.806431471428</v>
      </c>
      <c r="K21" s="29">
        <f t="shared" si="8"/>
        <v>88773.036280600296</v>
      </c>
      <c r="L21" s="29">
        <f t="shared" si="8"/>
        <v>115118.14454585436</v>
      </c>
      <c r="M21" s="29">
        <f t="shared" si="8"/>
        <v>135943.23180564208</v>
      </c>
      <c r="N21" s="29">
        <f t="shared" si="8"/>
        <v>177915.93568492966</v>
      </c>
      <c r="O21" s="29">
        <f t="shared" si="8"/>
        <v>114230.33489657321</v>
      </c>
      <c r="P21" s="29">
        <f t="shared" si="8"/>
        <v>771232.93361653108</v>
      </c>
      <c r="Q21" s="12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 thickBot="1">
      <c r="A22" s="1"/>
      <c r="B22" s="5"/>
      <c r="C22" s="28" t="s">
        <v>78</v>
      </c>
      <c r="D22" s="29">
        <f>D3+D21</f>
        <v>0</v>
      </c>
      <c r="E22" s="29">
        <f t="shared" ref="E22:P22" si="9">E3+E21</f>
        <v>0</v>
      </c>
      <c r="F22" s="29">
        <f t="shared" si="9"/>
        <v>-9.0949470177292824E-12</v>
      </c>
      <c r="G22" s="29">
        <f t="shared" si="9"/>
        <v>27566.63660000002</v>
      </c>
      <c r="H22" s="29">
        <f t="shared" si="9"/>
        <v>54339.494193999963</v>
      </c>
      <c r="I22" s="29">
        <f t="shared" si="9"/>
        <v>97833.443971459987</v>
      </c>
      <c r="J22" s="29">
        <f t="shared" si="9"/>
        <v>154252.25040293142</v>
      </c>
      <c r="K22" s="29">
        <f t="shared" si="9"/>
        <v>243025.28668353171</v>
      </c>
      <c r="L22" s="29">
        <f t="shared" si="9"/>
        <v>358143.43122938607</v>
      </c>
      <c r="M22" s="29">
        <f t="shared" si="9"/>
        <v>494086.66303502815</v>
      </c>
      <c r="N22" s="29">
        <f t="shared" si="9"/>
        <v>672002.59871995775</v>
      </c>
      <c r="O22" s="29">
        <f t="shared" si="9"/>
        <v>786232.93361653097</v>
      </c>
      <c r="P22" s="29">
        <f t="shared" si="9"/>
        <v>780232.93361653108</v>
      </c>
      <c r="Q22" s="12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7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thickBot="1">
      <c r="A24" s="1"/>
      <c r="B24" s="14"/>
      <c r="D24" s="32"/>
      <c r="E24" s="15"/>
      <c r="F24" s="15" t="s">
        <v>88</v>
      </c>
      <c r="G24" s="15"/>
      <c r="H24" s="36">
        <f>50000/+G22</f>
        <v>1.8137867424856597</v>
      </c>
      <c r="I24" s="15"/>
      <c r="J24" s="15"/>
      <c r="K24" s="15"/>
      <c r="L24" s="15"/>
      <c r="M24" s="15"/>
      <c r="N24" s="15"/>
      <c r="O24" s="15"/>
      <c r="P24" s="15"/>
      <c r="Q24" s="17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3">
    <mergeCell ref="O1:O2"/>
    <mergeCell ref="I1:I2"/>
    <mergeCell ref="J1:J2"/>
    <mergeCell ref="K1:K2"/>
    <mergeCell ref="L1:L2"/>
    <mergeCell ref="M1:M2"/>
    <mergeCell ref="N1:N2"/>
    <mergeCell ref="H1:H2"/>
    <mergeCell ref="C1:C2"/>
    <mergeCell ref="D1:D2"/>
    <mergeCell ref="E1:E2"/>
    <mergeCell ref="F1:F2"/>
    <mergeCell ref="G1:G2"/>
  </mergeCells>
  <conditionalFormatting sqref="D3:P3 E15:P15 D16:P22">
    <cfRule type="cellIs" dxfId="8" priority="2" operator="lessThan">
      <formula>0</formula>
    </cfRule>
  </conditionalFormatting>
  <conditionalFormatting sqref="D5:P14">
    <cfRule type="cellIs" dxfId="7" priority="1" operator="lessThan">
      <formula>0</formula>
    </cfRule>
  </conditionalFormatting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VENTAS </vt:lpstr>
      <vt:lpstr>COMPRAS </vt:lpstr>
      <vt:lpstr>PERSONAL </vt:lpstr>
      <vt:lpstr>GASTOS GENERALES </vt:lpstr>
      <vt:lpstr>FINANCIERO </vt:lpstr>
      <vt:lpstr>TESORERIA</vt:lpstr>
      <vt:lpstr>RESULTADOS </vt:lpstr>
      <vt:lpstr>DESVIACIÓN TESORERIA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Escuder García</dc:creator>
  <cp:lastModifiedBy>Usuario</cp:lastModifiedBy>
  <dcterms:created xsi:type="dcterms:W3CDTF">2022-02-06T18:44:23Z</dcterms:created>
  <dcterms:modified xsi:type="dcterms:W3CDTF">2024-02-12T23:38:37Z</dcterms:modified>
</cp:coreProperties>
</file>